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00" yWindow="5070" windowWidth="17340" windowHeight="7620" tabRatio="773" activeTab="1"/>
  </bookViews>
  <sheets>
    <sheet name="Datos Historicos" sheetId="11" r:id="rId1"/>
    <sheet name="Datos Previsiones" sheetId="1" r:id="rId2"/>
    <sheet name="P y G" sheetId="3" r:id="rId3"/>
    <sheet name="Tesorería" sheetId="2" r:id="rId4"/>
    <sheet name="Balance" sheetId="4" r:id="rId5"/>
    <sheet name="Financiación corto" sheetId="12" r:id="rId6"/>
    <sheet name="Pago compras" sheetId="14" r:id="rId7"/>
    <sheet name="Gtos de personal" sheetId="15" r:id="rId8"/>
    <sheet name="Prestamos" sheetId="16" r:id="rId9"/>
    <sheet name="FMO" sheetId="13" r:id="rId10"/>
    <sheet name="IVA" sheetId="17" r:id="rId11"/>
  </sheets>
  <externalReferences>
    <externalReference r:id="rId12"/>
    <externalReference r:id="rId13"/>
    <externalReference r:id="rId14"/>
  </externalReferences>
  <calcPr calcId="125725"/>
</workbook>
</file>

<file path=xl/calcChain.xml><?xml version="1.0" encoding="utf-8"?>
<calcChain xmlns="http://schemas.openxmlformats.org/spreadsheetml/2006/main">
  <c r="N6" i="17"/>
  <c r="M6"/>
  <c r="L6"/>
  <c r="K6"/>
  <c r="J6"/>
  <c r="I6"/>
  <c r="H6"/>
  <c r="G6"/>
  <c r="F6"/>
  <c r="E6"/>
  <c r="D6"/>
  <c r="C6"/>
  <c r="N7" i="13"/>
  <c r="M7"/>
  <c r="L7"/>
  <c r="K7"/>
  <c r="J7"/>
  <c r="I7"/>
  <c r="H7"/>
  <c r="G7"/>
  <c r="F7"/>
  <c r="E7"/>
  <c r="D7"/>
  <c r="C7"/>
  <c r="C36" i="2"/>
  <c r="D36"/>
  <c r="E36"/>
  <c r="F36"/>
  <c r="G36"/>
  <c r="H36"/>
  <c r="I36"/>
  <c r="J36"/>
  <c r="K36"/>
  <c r="L36"/>
  <c r="M36"/>
  <c r="C37"/>
  <c r="D37"/>
  <c r="E37"/>
  <c r="F37"/>
  <c r="G37"/>
  <c r="H37"/>
  <c r="I37"/>
  <c r="J37"/>
  <c r="K37"/>
  <c r="L37"/>
  <c r="M37"/>
  <c r="C21" i="3"/>
  <c r="D21"/>
  <c r="E21"/>
  <c r="F21"/>
  <c r="G21"/>
  <c r="H21"/>
  <c r="I21"/>
  <c r="J21"/>
  <c r="K21"/>
  <c r="L21"/>
  <c r="M21"/>
  <c r="B21"/>
  <c r="F8" i="11"/>
  <c r="C22" i="3"/>
  <c r="B37" i="2"/>
  <c r="B21" i="4"/>
  <c r="B22"/>
  <c r="F10" i="11"/>
  <c r="C22" i="4" s="1"/>
  <c r="D22" s="1"/>
  <c r="E22" s="1"/>
  <c r="F22" s="1"/>
  <c r="G22" s="1"/>
  <c r="H22" s="1"/>
  <c r="I22" s="1"/>
  <c r="J22" s="1"/>
  <c r="K22" s="1"/>
  <c r="L22" s="1"/>
  <c r="M22" s="1"/>
  <c r="N22" s="1"/>
  <c r="O22" s="1"/>
  <c r="B45" i="16"/>
  <c r="C45"/>
  <c r="C50" s="1"/>
  <c r="A42"/>
  <c r="A41"/>
  <c r="A40"/>
  <c r="A39"/>
  <c r="A38"/>
  <c r="A34"/>
  <c r="A54" s="1"/>
  <c r="A33"/>
  <c r="A53" s="1"/>
  <c r="A32"/>
  <c r="A52" s="1"/>
  <c r="A31"/>
  <c r="A51" s="1"/>
  <c r="A30"/>
  <c r="A50" s="1"/>
  <c r="A29"/>
  <c r="A49" s="1"/>
  <c r="A28"/>
  <c r="A48" s="1"/>
  <c r="A27"/>
  <c r="A26"/>
  <c r="A46" s="1"/>
  <c r="F25"/>
  <c r="G25" s="1"/>
  <c r="C25"/>
  <c r="C30" s="1"/>
  <c r="C34" s="1"/>
  <c r="C6"/>
  <c r="D6" s="1"/>
  <c r="D11" s="1"/>
  <c r="N4"/>
  <c r="M4"/>
  <c r="L4"/>
  <c r="K4"/>
  <c r="J4"/>
  <c r="I4"/>
  <c r="H4"/>
  <c r="G4"/>
  <c r="F4"/>
  <c r="E4"/>
  <c r="D4"/>
  <c r="C4"/>
  <c r="N36" i="1"/>
  <c r="M36"/>
  <c r="L36"/>
  <c r="K36"/>
  <c r="J36"/>
  <c r="I36"/>
  <c r="H36"/>
  <c r="G36"/>
  <c r="F36"/>
  <c r="E36"/>
  <c r="D36"/>
  <c r="C36"/>
  <c r="N35"/>
  <c r="M35"/>
  <c r="L35"/>
  <c r="K35"/>
  <c r="J35"/>
  <c r="I35"/>
  <c r="H35"/>
  <c r="G35"/>
  <c r="F35"/>
  <c r="E35"/>
  <c r="D35"/>
  <c r="C35"/>
  <c r="N34"/>
  <c r="M34"/>
  <c r="L34"/>
  <c r="K34"/>
  <c r="J34"/>
  <c r="I34"/>
  <c r="H34"/>
  <c r="G34"/>
  <c r="F34"/>
  <c r="E34"/>
  <c r="D34"/>
  <c r="C34"/>
  <c r="N33"/>
  <c r="M33"/>
  <c r="L33"/>
  <c r="K33"/>
  <c r="J33"/>
  <c r="I33"/>
  <c r="H33"/>
  <c r="G33"/>
  <c r="F33"/>
  <c r="E33"/>
  <c r="D33"/>
  <c r="C33"/>
  <c r="N32"/>
  <c r="M32"/>
  <c r="L32"/>
  <c r="K32"/>
  <c r="J32"/>
  <c r="I32"/>
  <c r="H32"/>
  <c r="G32"/>
  <c r="F32"/>
  <c r="E32"/>
  <c r="D32"/>
  <c r="C32"/>
  <c r="N31"/>
  <c r="M31"/>
  <c r="L31"/>
  <c r="K31"/>
  <c r="J31"/>
  <c r="I31"/>
  <c r="H31"/>
  <c r="G31"/>
  <c r="F31"/>
  <c r="E31"/>
  <c r="D31"/>
  <c r="C31"/>
  <c r="N30"/>
  <c r="M30"/>
  <c r="L30"/>
  <c r="K30"/>
  <c r="J30"/>
  <c r="I30"/>
  <c r="H30"/>
  <c r="G30"/>
  <c r="F30"/>
  <c r="E30"/>
  <c r="D30"/>
  <c r="C30"/>
  <c r="N29"/>
  <c r="M29"/>
  <c r="L29"/>
  <c r="K29"/>
  <c r="J29"/>
  <c r="I29"/>
  <c r="H29"/>
  <c r="G29"/>
  <c r="F29"/>
  <c r="E29"/>
  <c r="D29"/>
  <c r="C29"/>
  <c r="C28" i="4"/>
  <c r="B11" i="15" s="1"/>
  <c r="B28" i="4"/>
  <c r="H38" i="15"/>
  <c r="H39"/>
  <c r="H40"/>
  <c r="H41"/>
  <c r="F38"/>
  <c r="F39"/>
  <c r="F40"/>
  <c r="F41"/>
  <c r="C25" i="4"/>
  <c r="H37" i="15"/>
  <c r="I37"/>
  <c r="I41"/>
  <c r="I40"/>
  <c r="I39"/>
  <c r="I38"/>
  <c r="F37"/>
  <c r="B37"/>
  <c r="C37"/>
  <c r="H71"/>
  <c r="I71" s="1"/>
  <c r="J71" s="1"/>
  <c r="E71"/>
  <c r="D71"/>
  <c r="I70"/>
  <c r="J70" s="1"/>
  <c r="H70"/>
  <c r="E70"/>
  <c r="D70"/>
  <c r="H69"/>
  <c r="I69" s="1"/>
  <c r="J69" s="1"/>
  <c r="E69"/>
  <c r="D69"/>
  <c r="I68"/>
  <c r="J68" s="1"/>
  <c r="H68"/>
  <c r="E68"/>
  <c r="D68"/>
  <c r="H67"/>
  <c r="I67" s="1"/>
  <c r="E67"/>
  <c r="D67"/>
  <c r="I56"/>
  <c r="G56"/>
  <c r="F56"/>
  <c r="D56"/>
  <c r="C56"/>
  <c r="B56"/>
  <c r="E56" s="1"/>
  <c r="G55"/>
  <c r="F55"/>
  <c r="I55" s="1"/>
  <c r="D55"/>
  <c r="C55"/>
  <c r="B55"/>
  <c r="G54"/>
  <c r="F54"/>
  <c r="I54" s="1"/>
  <c r="I57" s="1"/>
  <c r="E54"/>
  <c r="D54"/>
  <c r="D57" s="1"/>
  <c r="C54"/>
  <c r="B54"/>
  <c r="K41"/>
  <c r="G41"/>
  <c r="C41"/>
  <c r="B41"/>
  <c r="D41" s="1"/>
  <c r="E41" s="1"/>
  <c r="K40"/>
  <c r="G40"/>
  <c r="C40"/>
  <c r="B40"/>
  <c r="K39"/>
  <c r="G39"/>
  <c r="C39"/>
  <c r="B39"/>
  <c r="D39" s="1"/>
  <c r="E39" s="1"/>
  <c r="K38"/>
  <c r="G38"/>
  <c r="C38"/>
  <c r="B38"/>
  <c r="D38" s="1"/>
  <c r="G37"/>
  <c r="B25"/>
  <c r="B24"/>
  <c r="A2"/>
  <c r="A7" i="12"/>
  <c r="C11" i="16" l="1"/>
  <c r="F30"/>
  <c r="F32" s="1"/>
  <c r="G30"/>
  <c r="G33" s="1"/>
  <c r="H25"/>
  <c r="D25"/>
  <c r="C52"/>
  <c r="C26"/>
  <c r="D13"/>
  <c r="D45"/>
  <c r="E45" s="1"/>
  <c r="F45" s="1"/>
  <c r="G45" s="1"/>
  <c r="H45" s="1"/>
  <c r="I45" s="1"/>
  <c r="J45" s="1"/>
  <c r="K45" s="1"/>
  <c r="L45" s="1"/>
  <c r="M45" s="1"/>
  <c r="N45" s="1"/>
  <c r="C33"/>
  <c r="E6"/>
  <c r="C32"/>
  <c r="E55" i="15"/>
  <c r="K37"/>
  <c r="D72"/>
  <c r="H42"/>
  <c r="B57"/>
  <c r="E57"/>
  <c r="H55"/>
  <c r="H54"/>
  <c r="J37"/>
  <c r="J41"/>
  <c r="E38"/>
  <c r="E72"/>
  <c r="D37"/>
  <c r="J38"/>
  <c r="M38" s="1"/>
  <c r="J39"/>
  <c r="I72"/>
  <c r="J67"/>
  <c r="J72" s="1"/>
  <c r="D40"/>
  <c r="E40" s="1"/>
  <c r="J40"/>
  <c r="B42"/>
  <c r="C5" s="1"/>
  <c r="J55"/>
  <c r="F42"/>
  <c r="H56"/>
  <c r="J56" s="1"/>
  <c r="C14" i="16" l="1"/>
  <c r="B43" i="2" s="1"/>
  <c r="C13" i="16"/>
  <c r="C15" s="1"/>
  <c r="H30"/>
  <c r="I25"/>
  <c r="E25"/>
  <c r="E30" s="1"/>
  <c r="D30"/>
  <c r="G32"/>
  <c r="G34"/>
  <c r="C53"/>
  <c r="E11"/>
  <c r="F6"/>
  <c r="D50"/>
  <c r="L41" i="15"/>
  <c r="M41"/>
  <c r="L39"/>
  <c r="M39"/>
  <c r="L40"/>
  <c r="M40"/>
  <c r="L37"/>
  <c r="H57"/>
  <c r="D42"/>
  <c r="D6" s="1"/>
  <c r="D15" i="3" s="1"/>
  <c r="M37" i="15"/>
  <c r="C14" i="3"/>
  <c r="J54" i="15"/>
  <c r="J57" s="1"/>
  <c r="E37"/>
  <c r="E42" s="1"/>
  <c r="K42"/>
  <c r="J42"/>
  <c r="E12" s="1"/>
  <c r="L38"/>
  <c r="L5"/>
  <c r="H5"/>
  <c r="D5"/>
  <c r="M5"/>
  <c r="I5"/>
  <c r="E5"/>
  <c r="J5"/>
  <c r="F5"/>
  <c r="B5"/>
  <c r="K5"/>
  <c r="G5"/>
  <c r="C29" i="2"/>
  <c r="D29"/>
  <c r="E29"/>
  <c r="F29"/>
  <c r="G29"/>
  <c r="H29"/>
  <c r="I29"/>
  <c r="J29"/>
  <c r="K29"/>
  <c r="L29"/>
  <c r="M29"/>
  <c r="B29"/>
  <c r="C7" i="16" l="1"/>
  <c r="B36" i="2"/>
  <c r="C54" i="16"/>
  <c r="M42" i="15"/>
  <c r="H33" i="16"/>
  <c r="H34"/>
  <c r="H32"/>
  <c r="I30"/>
  <c r="J25"/>
  <c r="E32"/>
  <c r="E33"/>
  <c r="E34"/>
  <c r="D34"/>
  <c r="D26" s="1"/>
  <c r="D32"/>
  <c r="D33"/>
  <c r="F11"/>
  <c r="G6"/>
  <c r="D52"/>
  <c r="E50"/>
  <c r="F50" s="1"/>
  <c r="E13"/>
  <c r="D14"/>
  <c r="L42" i="15"/>
  <c r="D9" s="1"/>
  <c r="D10"/>
  <c r="E11" s="1"/>
  <c r="E14" i="3"/>
  <c r="J14"/>
  <c r="B14"/>
  <c r="B10" i="15"/>
  <c r="C11" s="1"/>
  <c r="M6"/>
  <c r="M15" i="3" s="1"/>
  <c r="I6" i="15"/>
  <c r="I15" i="3" s="1"/>
  <c r="J6" i="15"/>
  <c r="J15" i="3" s="1"/>
  <c r="F6" i="15"/>
  <c r="F15" i="3" s="1"/>
  <c r="L6" i="15"/>
  <c r="L15" i="3" s="1"/>
  <c r="F14"/>
  <c r="L14"/>
  <c r="K14"/>
  <c r="H14"/>
  <c r="G14"/>
  <c r="D14"/>
  <c r="M14"/>
  <c r="I14"/>
  <c r="E6" i="15"/>
  <c r="E15" i="3" s="1"/>
  <c r="B6" i="15"/>
  <c r="B15" i="3" s="1"/>
  <c r="K6" i="15"/>
  <c r="K15" i="3" s="1"/>
  <c r="C6" i="15"/>
  <c r="G6"/>
  <c r="G15" i="3" s="1"/>
  <c r="H6" i="15"/>
  <c r="H15" i="3" s="1"/>
  <c r="H9" i="15"/>
  <c r="C12"/>
  <c r="J12"/>
  <c r="F12"/>
  <c r="D12"/>
  <c r="G12"/>
  <c r="I10"/>
  <c r="J11" s="1"/>
  <c r="G10"/>
  <c r="H11" s="1"/>
  <c r="M12"/>
  <c r="C10"/>
  <c r="D11" s="1"/>
  <c r="J10"/>
  <c r="K11" s="1"/>
  <c r="E10"/>
  <c r="F11" s="1"/>
  <c r="L10"/>
  <c r="M11" s="1"/>
  <c r="F10"/>
  <c r="G11" s="1"/>
  <c r="H10"/>
  <c r="I11" s="1"/>
  <c r="L12"/>
  <c r="B12"/>
  <c r="B13" s="1"/>
  <c r="C13" s="1"/>
  <c r="I12"/>
  <c r="K10"/>
  <c r="L11" s="1"/>
  <c r="M10"/>
  <c r="H12"/>
  <c r="K12"/>
  <c r="B44" i="12"/>
  <c r="B39"/>
  <c r="B33"/>
  <c r="C46" i="16" l="1"/>
  <c r="G50"/>
  <c r="G52" s="1"/>
  <c r="E26"/>
  <c r="I34"/>
  <c r="I32"/>
  <c r="I33"/>
  <c r="J30"/>
  <c r="K25"/>
  <c r="F33"/>
  <c r="F34" s="1"/>
  <c r="F26" s="1"/>
  <c r="G26" s="1"/>
  <c r="H26" s="1"/>
  <c r="I26" s="1"/>
  <c r="G11"/>
  <c r="H6"/>
  <c r="H50"/>
  <c r="F52"/>
  <c r="E52"/>
  <c r="F13"/>
  <c r="D15"/>
  <c r="D53"/>
  <c r="L9" i="15"/>
  <c r="L19" i="2" s="1"/>
  <c r="F9" i="15"/>
  <c r="F19" i="2" s="1"/>
  <c r="C9" i="15"/>
  <c r="C19" i="2" s="1"/>
  <c r="J9" i="15"/>
  <c r="J19" i="2" s="1"/>
  <c r="I9" i="15"/>
  <c r="I19" i="2" s="1"/>
  <c r="G9" i="15"/>
  <c r="G19" i="2" s="1"/>
  <c r="B9" i="15"/>
  <c r="D28" i="4" s="1"/>
  <c r="K9" i="15"/>
  <c r="E9"/>
  <c r="M9"/>
  <c r="M19" i="2" s="1"/>
  <c r="C15" i="3"/>
  <c r="D19" i="2"/>
  <c r="B19"/>
  <c r="N14" i="3"/>
  <c r="D13" i="15"/>
  <c r="E14" s="1"/>
  <c r="C45" i="12"/>
  <c r="C46"/>
  <c r="C33"/>
  <c r="D30" s="1"/>
  <c r="C30"/>
  <c r="C39"/>
  <c r="C37"/>
  <c r="C44"/>
  <c r="D54" i="16" l="1"/>
  <c r="E28" i="4"/>
  <c r="F28" s="1"/>
  <c r="G28" s="1"/>
  <c r="H28" s="1"/>
  <c r="I28" s="1"/>
  <c r="J32" i="16"/>
  <c r="J33"/>
  <c r="K30"/>
  <c r="L25"/>
  <c r="I50"/>
  <c r="H11"/>
  <c r="I6"/>
  <c r="H52"/>
  <c r="D7"/>
  <c r="G13"/>
  <c r="E53"/>
  <c r="E54" s="1"/>
  <c r="E19" i="2"/>
  <c r="E13" i="15"/>
  <c r="F13" s="1"/>
  <c r="G13" s="1"/>
  <c r="H14" s="1"/>
  <c r="H19" i="2" s="1"/>
  <c r="C43"/>
  <c r="D39" i="12"/>
  <c r="D37"/>
  <c r="D33"/>
  <c r="E30" s="1"/>
  <c r="D44"/>
  <c r="E44" s="1"/>
  <c r="D46"/>
  <c r="D45"/>
  <c r="E46" i="16" l="1"/>
  <c r="F53" s="1"/>
  <c r="F54" s="1"/>
  <c r="D46"/>
  <c r="J34"/>
  <c r="J26" s="1"/>
  <c r="K32"/>
  <c r="K33"/>
  <c r="K34"/>
  <c r="L30"/>
  <c r="M25"/>
  <c r="I52"/>
  <c r="J50"/>
  <c r="I11"/>
  <c r="J6"/>
  <c r="E14"/>
  <c r="D43" i="2" s="1"/>
  <c r="H13" i="16"/>
  <c r="J28" i="4"/>
  <c r="K28" s="1"/>
  <c r="L28" s="1"/>
  <c r="H13" i="15"/>
  <c r="I13" s="1"/>
  <c r="J13" s="1"/>
  <c r="K14" s="1"/>
  <c r="K19" i="2" s="1"/>
  <c r="E33" i="12"/>
  <c r="F30" s="1"/>
  <c r="E39"/>
  <c r="E37"/>
  <c r="F45"/>
  <c r="F46"/>
  <c r="E46"/>
  <c r="E45"/>
  <c r="F44"/>
  <c r="G44" s="1"/>
  <c r="F33"/>
  <c r="G30" s="1"/>
  <c r="F46" i="16" l="1"/>
  <c r="M28" i="4"/>
  <c r="N28" s="1"/>
  <c r="O28" s="1"/>
  <c r="K26" i="16"/>
  <c r="L33"/>
  <c r="L32"/>
  <c r="L34"/>
  <c r="L26" s="1"/>
  <c r="N25"/>
  <c r="M30"/>
  <c r="I13"/>
  <c r="E15"/>
  <c r="J52"/>
  <c r="G53"/>
  <c r="G54" s="1"/>
  <c r="G46" s="1"/>
  <c r="J11"/>
  <c r="K6"/>
  <c r="K50"/>
  <c r="K13" i="15"/>
  <c r="L13" s="1"/>
  <c r="M13" s="1"/>
  <c r="H45" i="12"/>
  <c r="H46"/>
  <c r="F39"/>
  <c r="F37"/>
  <c r="G46"/>
  <c r="G45"/>
  <c r="G33"/>
  <c r="H30" s="1"/>
  <c r="H44"/>
  <c r="C36" i="16" l="1"/>
  <c r="N30"/>
  <c r="M32"/>
  <c r="M34"/>
  <c r="M26" s="1"/>
  <c r="M33"/>
  <c r="J13"/>
  <c r="E7"/>
  <c r="K11"/>
  <c r="L6"/>
  <c r="K52"/>
  <c r="L50"/>
  <c r="M50" s="1"/>
  <c r="H53"/>
  <c r="G39" i="12"/>
  <c r="G37"/>
  <c r="I46"/>
  <c r="I45"/>
  <c r="H33"/>
  <c r="I30" s="1"/>
  <c r="I44"/>
  <c r="H54" i="16" l="1"/>
  <c r="H46" s="1"/>
  <c r="N32"/>
  <c r="B32" s="1"/>
  <c r="N33"/>
  <c r="B33" s="1"/>
  <c r="C39"/>
  <c r="D36"/>
  <c r="M52"/>
  <c r="L11"/>
  <c r="M6"/>
  <c r="I53"/>
  <c r="I54" s="1"/>
  <c r="I46" s="1"/>
  <c r="F14"/>
  <c r="E43" i="2" s="1"/>
  <c r="L52" i="16"/>
  <c r="K13"/>
  <c r="N50"/>
  <c r="H39" i="12"/>
  <c r="H37"/>
  <c r="J45"/>
  <c r="J46"/>
  <c r="J44"/>
  <c r="I33"/>
  <c r="J30" s="1"/>
  <c r="N34" i="16" l="1"/>
  <c r="B34" s="1"/>
  <c r="C41"/>
  <c r="C42"/>
  <c r="C40"/>
  <c r="D39"/>
  <c r="E36"/>
  <c r="J53"/>
  <c r="J54" s="1"/>
  <c r="J46" s="1"/>
  <c r="F15"/>
  <c r="L13"/>
  <c r="N52"/>
  <c r="M11"/>
  <c r="N6"/>
  <c r="C17" s="1"/>
  <c r="D17" s="1"/>
  <c r="E17" s="1"/>
  <c r="F17" s="1"/>
  <c r="G17" s="1"/>
  <c r="H17" s="1"/>
  <c r="I17" s="1"/>
  <c r="J17" s="1"/>
  <c r="K17" s="1"/>
  <c r="L17" s="1"/>
  <c r="M17" s="1"/>
  <c r="N17" s="1"/>
  <c r="K46" i="12"/>
  <c r="K45"/>
  <c r="I39"/>
  <c r="I37"/>
  <c r="K44"/>
  <c r="J33"/>
  <c r="K30" s="1"/>
  <c r="N26" i="16" l="1"/>
  <c r="D41"/>
  <c r="D42"/>
  <c r="D40"/>
  <c r="E39"/>
  <c r="F36"/>
  <c r="C38"/>
  <c r="K53"/>
  <c r="K54" s="1"/>
  <c r="K46" s="1"/>
  <c r="F7"/>
  <c r="M13"/>
  <c r="B52"/>
  <c r="N11"/>
  <c r="J39" i="12"/>
  <c r="J37"/>
  <c r="L46"/>
  <c r="L45"/>
  <c r="L44"/>
  <c r="K33"/>
  <c r="L30" s="1"/>
  <c r="D38" i="16" l="1"/>
  <c r="E42"/>
  <c r="E38" s="1"/>
  <c r="E41"/>
  <c r="E40"/>
  <c r="G36"/>
  <c r="F39"/>
  <c r="L53"/>
  <c r="L54" s="1"/>
  <c r="L46" s="1"/>
  <c r="C19"/>
  <c r="N13"/>
  <c r="B13" s="1"/>
  <c r="G14"/>
  <c r="M46" i="12"/>
  <c r="M45"/>
  <c r="K39"/>
  <c r="K37"/>
  <c r="L33"/>
  <c r="M30" s="1"/>
  <c r="M44"/>
  <c r="G15" i="16" l="1"/>
  <c r="F43" i="2"/>
  <c r="F40" i="16"/>
  <c r="F41"/>
  <c r="G39"/>
  <c r="H36"/>
  <c r="M53"/>
  <c r="M54" s="1"/>
  <c r="M46" s="1"/>
  <c r="D19"/>
  <c r="C20"/>
  <c r="L39" i="12"/>
  <c r="L37"/>
  <c r="M33"/>
  <c r="G7" i="16" l="1"/>
  <c r="F42"/>
  <c r="F38" s="1"/>
  <c r="G38" s="1"/>
  <c r="G42"/>
  <c r="G40"/>
  <c r="G41"/>
  <c r="H39"/>
  <c r="I36"/>
  <c r="E19"/>
  <c r="H14"/>
  <c r="N53"/>
  <c r="D20"/>
  <c r="M39" i="12"/>
  <c r="M37"/>
  <c r="H15" i="16" l="1"/>
  <c r="G43" i="2"/>
  <c r="N54" i="16"/>
  <c r="B53"/>
  <c r="H40"/>
  <c r="H41"/>
  <c r="H42"/>
  <c r="H38" s="1"/>
  <c r="I39"/>
  <c r="J36"/>
  <c r="E20"/>
  <c r="F19"/>
  <c r="B24" i="12"/>
  <c r="D3" i="3"/>
  <c r="C34" i="2"/>
  <c r="D34"/>
  <c r="E34"/>
  <c r="F34"/>
  <c r="G34"/>
  <c r="H34"/>
  <c r="I34"/>
  <c r="J34"/>
  <c r="K34"/>
  <c r="L34"/>
  <c r="M34"/>
  <c r="B34"/>
  <c r="C41"/>
  <c r="D41"/>
  <c r="E41"/>
  <c r="F41"/>
  <c r="G41"/>
  <c r="H41"/>
  <c r="I41"/>
  <c r="J41"/>
  <c r="K41"/>
  <c r="L41"/>
  <c r="M41"/>
  <c r="B41"/>
  <c r="D7" i="12" l="1"/>
  <c r="D13" s="1"/>
  <c r="H7" i="16"/>
  <c r="I14" s="1"/>
  <c r="N46"/>
  <c r="B54"/>
  <c r="J39"/>
  <c r="K36"/>
  <c r="I40"/>
  <c r="I42"/>
  <c r="I38" s="1"/>
  <c r="I41"/>
  <c r="F20"/>
  <c r="G19"/>
  <c r="E12" i="12"/>
  <c r="L3" i="3"/>
  <c r="H3"/>
  <c r="L7" i="12" l="1"/>
  <c r="M12" s="1"/>
  <c r="H7"/>
  <c r="K10" s="1"/>
  <c r="F11"/>
  <c r="G10"/>
  <c r="I15" i="16"/>
  <c r="K39"/>
  <c r="L36"/>
  <c r="J41"/>
  <c r="J40"/>
  <c r="J42" s="1"/>
  <c r="J38" s="1"/>
  <c r="G20"/>
  <c r="H19"/>
  <c r="I12" i="12"/>
  <c r="J11"/>
  <c r="H13"/>
  <c r="C3" i="3"/>
  <c r="K3"/>
  <c r="F3"/>
  <c r="M3"/>
  <c r="G3"/>
  <c r="B3"/>
  <c r="I3"/>
  <c r="E3"/>
  <c r="J3"/>
  <c r="C35" i="2"/>
  <c r="D35"/>
  <c r="E35"/>
  <c r="F35"/>
  <c r="G35"/>
  <c r="H35"/>
  <c r="I35"/>
  <c r="J35"/>
  <c r="K35"/>
  <c r="L35"/>
  <c r="M35"/>
  <c r="C38"/>
  <c r="D38"/>
  <c r="E38"/>
  <c r="F38"/>
  <c r="G38"/>
  <c r="H38"/>
  <c r="I38"/>
  <c r="J38"/>
  <c r="K38"/>
  <c r="L38"/>
  <c r="M38"/>
  <c r="B38"/>
  <c r="B35"/>
  <c r="C24"/>
  <c r="D24"/>
  <c r="E24"/>
  <c r="F24"/>
  <c r="G24"/>
  <c r="H24"/>
  <c r="I24"/>
  <c r="J24"/>
  <c r="K24"/>
  <c r="L24"/>
  <c r="M24"/>
  <c r="C25"/>
  <c r="D25"/>
  <c r="E25"/>
  <c r="F25"/>
  <c r="G25"/>
  <c r="H25"/>
  <c r="I25"/>
  <c r="J25"/>
  <c r="K25"/>
  <c r="L25"/>
  <c r="M25"/>
  <c r="B25"/>
  <c r="B24"/>
  <c r="C26"/>
  <c r="D26"/>
  <c r="E26"/>
  <c r="F26"/>
  <c r="G26"/>
  <c r="H26"/>
  <c r="I26"/>
  <c r="J26"/>
  <c r="K26"/>
  <c r="L26"/>
  <c r="M26"/>
  <c r="C27"/>
  <c r="D27"/>
  <c r="E27"/>
  <c r="F27"/>
  <c r="G27"/>
  <c r="H27"/>
  <c r="I27"/>
  <c r="J27"/>
  <c r="K27"/>
  <c r="L27"/>
  <c r="M27"/>
  <c r="C28"/>
  <c r="D28"/>
  <c r="E28"/>
  <c r="F28"/>
  <c r="G28"/>
  <c r="H28"/>
  <c r="I28"/>
  <c r="J28"/>
  <c r="K28"/>
  <c r="L28"/>
  <c r="M28"/>
  <c r="B28"/>
  <c r="B27"/>
  <c r="B26"/>
  <c r="G40"/>
  <c r="G7" i="12" l="1"/>
  <c r="I11" s="1"/>
  <c r="B7"/>
  <c r="E10" s="1"/>
  <c r="E7"/>
  <c r="F12" s="1"/>
  <c r="I7"/>
  <c r="I13" s="1"/>
  <c r="K7"/>
  <c r="K13" s="1"/>
  <c r="F7"/>
  <c r="L13"/>
  <c r="J7"/>
  <c r="C7"/>
  <c r="C13" s="1"/>
  <c r="M7"/>
  <c r="M13" s="1"/>
  <c r="I7" i="16"/>
  <c r="J14" s="1"/>
  <c r="L39"/>
  <c r="M36"/>
  <c r="K41"/>
  <c r="K42"/>
  <c r="K38" s="1"/>
  <c r="K40"/>
  <c r="H20"/>
  <c r="I19"/>
  <c r="H11" i="12"/>
  <c r="F13"/>
  <c r="I10"/>
  <c r="G12"/>
  <c r="K11"/>
  <c r="L10"/>
  <c r="J12"/>
  <c r="F10"/>
  <c r="L11"/>
  <c r="M10"/>
  <c r="J13"/>
  <c r="K12"/>
  <c r="D15" i="2"/>
  <c r="C15"/>
  <c r="B15"/>
  <c r="C12" i="12" l="1"/>
  <c r="E13"/>
  <c r="G11"/>
  <c r="H10"/>
  <c r="M11"/>
  <c r="E11"/>
  <c r="J10"/>
  <c r="D12"/>
  <c r="G13"/>
  <c r="H12"/>
  <c r="B13"/>
  <c r="L12"/>
  <c r="D11"/>
  <c r="J15" i="16"/>
  <c r="N36"/>
  <c r="N39" s="1"/>
  <c r="M39"/>
  <c r="L40"/>
  <c r="L41"/>
  <c r="L42"/>
  <c r="L38" s="1"/>
  <c r="I20"/>
  <c r="J19"/>
  <c r="C20" i="11"/>
  <c r="F19" i="3"/>
  <c r="F30" i="2" s="1"/>
  <c r="J19" i="3"/>
  <c r="J30" i="2" s="1"/>
  <c r="B19" i="3"/>
  <c r="B30" i="2" s="1"/>
  <c r="I19" i="3"/>
  <c r="I30" i="2" s="1"/>
  <c r="H19" i="3"/>
  <c r="H30" i="2" s="1"/>
  <c r="C19" i="3"/>
  <c r="C30" i="2" s="1"/>
  <c r="G19" i="3"/>
  <c r="G30" i="2" s="1"/>
  <c r="K19" i="3"/>
  <c r="K30" i="2" s="1"/>
  <c r="E19" i="3"/>
  <c r="E30" i="2" s="1"/>
  <c r="M19" i="3"/>
  <c r="M30" i="2" s="1"/>
  <c r="D19" i="3"/>
  <c r="D30" i="2" s="1"/>
  <c r="L19" i="3"/>
  <c r="L30" i="2" s="1"/>
  <c r="J7" i="16" l="1"/>
  <c r="K14" s="1"/>
  <c r="N40"/>
  <c r="M41"/>
  <c r="M42"/>
  <c r="M38" s="1"/>
  <c r="M40"/>
  <c r="J20"/>
  <c r="K19"/>
  <c r="K12" i="3"/>
  <c r="K10"/>
  <c r="K4"/>
  <c r="K5"/>
  <c r="K9"/>
  <c r="K13"/>
  <c r="K11"/>
  <c r="L9"/>
  <c r="L13"/>
  <c r="L5"/>
  <c r="L12"/>
  <c r="L6"/>
  <c r="L14" i="2" s="1"/>
  <c r="L10" i="3"/>
  <c r="L4"/>
  <c r="L11"/>
  <c r="J11"/>
  <c r="J5"/>
  <c r="J9"/>
  <c r="J13"/>
  <c r="J10"/>
  <c r="J4"/>
  <c r="J12"/>
  <c r="J6"/>
  <c r="J14" i="2" s="1"/>
  <c r="B13" i="3"/>
  <c r="B5"/>
  <c r="B11"/>
  <c r="B10"/>
  <c r="B12"/>
  <c r="B6"/>
  <c r="B14" i="2" s="1"/>
  <c r="B9" i="3"/>
  <c r="B4"/>
  <c r="E10"/>
  <c r="E4"/>
  <c r="E12"/>
  <c r="E11"/>
  <c r="E5"/>
  <c r="E6"/>
  <c r="E14" i="2" s="1"/>
  <c r="E9" i="3"/>
  <c r="E13"/>
  <c r="C12"/>
  <c r="C6"/>
  <c r="C14" i="2" s="1"/>
  <c r="C10" i="3"/>
  <c r="C5"/>
  <c r="C9"/>
  <c r="C13"/>
  <c r="C11"/>
  <c r="C4"/>
  <c r="F11"/>
  <c r="F5"/>
  <c r="F12"/>
  <c r="F6"/>
  <c r="F14" i="2" s="1"/>
  <c r="F9" i="3"/>
  <c r="F13"/>
  <c r="F10"/>
  <c r="F4"/>
  <c r="D9"/>
  <c r="D13"/>
  <c r="D5"/>
  <c r="D12"/>
  <c r="D10"/>
  <c r="D4"/>
  <c r="D11"/>
  <c r="D6"/>
  <c r="D14" i="2" s="1"/>
  <c r="H9" i="3"/>
  <c r="H13"/>
  <c r="H11"/>
  <c r="H10"/>
  <c r="H4"/>
  <c r="H5"/>
  <c r="H12"/>
  <c r="H6"/>
  <c r="H14" i="2" s="1"/>
  <c r="M10" i="3"/>
  <c r="M4"/>
  <c r="M12"/>
  <c r="M6"/>
  <c r="M14" i="2" s="1"/>
  <c r="M9" i="3"/>
  <c r="M11"/>
  <c r="M5"/>
  <c r="M13"/>
  <c r="G12"/>
  <c r="G6"/>
  <c r="G14" i="2" s="1"/>
  <c r="G11" i="3"/>
  <c r="G9"/>
  <c r="G13"/>
  <c r="G10"/>
  <c r="G4"/>
  <c r="G5"/>
  <c r="I10"/>
  <c r="I4"/>
  <c r="I9"/>
  <c r="I13"/>
  <c r="I11"/>
  <c r="I5"/>
  <c r="I12"/>
  <c r="I6"/>
  <c r="I14" i="2" s="1"/>
  <c r="K6" i="3"/>
  <c r="K14" i="2" s="1"/>
  <c r="M31"/>
  <c r="C31"/>
  <c r="D31"/>
  <c r="E31"/>
  <c r="H31"/>
  <c r="F31"/>
  <c r="J31"/>
  <c r="G31"/>
  <c r="B31"/>
  <c r="L31"/>
  <c r="K31"/>
  <c r="I31"/>
  <c r="B32" i="4"/>
  <c r="B5"/>
  <c r="C5"/>
  <c r="B6"/>
  <c r="C6"/>
  <c r="B7"/>
  <c r="B8"/>
  <c r="B9"/>
  <c r="C9"/>
  <c r="B10"/>
  <c r="C10"/>
  <c r="B9" i="13" s="1"/>
  <c r="B11" i="4"/>
  <c r="B12"/>
  <c r="C12"/>
  <c r="B19" i="13" s="1"/>
  <c r="B13" i="4"/>
  <c r="B15"/>
  <c r="B16"/>
  <c r="B17"/>
  <c r="C17"/>
  <c r="B18"/>
  <c r="B19"/>
  <c r="B20"/>
  <c r="B23"/>
  <c r="B24"/>
  <c r="B25"/>
  <c r="B26"/>
  <c r="B27"/>
  <c r="B29"/>
  <c r="B30"/>
  <c r="C30"/>
  <c r="D30" s="1"/>
  <c r="E30" s="1"/>
  <c r="F30" s="1"/>
  <c r="G30" s="1"/>
  <c r="H30" s="1"/>
  <c r="I30" s="1"/>
  <c r="J30" s="1"/>
  <c r="K30" s="1"/>
  <c r="L30" s="1"/>
  <c r="M30" s="1"/>
  <c r="N30" s="1"/>
  <c r="O30" s="1"/>
  <c r="B31"/>
  <c r="B4"/>
  <c r="C7"/>
  <c r="D7" s="1"/>
  <c r="E7" s="1"/>
  <c r="F7" s="1"/>
  <c r="G7" s="1"/>
  <c r="H7" s="1"/>
  <c r="I7" s="1"/>
  <c r="J7" s="1"/>
  <c r="K7" s="1"/>
  <c r="L7" s="1"/>
  <c r="M7" s="1"/>
  <c r="N7" s="1"/>
  <c r="O7" s="1"/>
  <c r="C8"/>
  <c r="C11"/>
  <c r="C15"/>
  <c r="C16"/>
  <c r="D16" s="1"/>
  <c r="E16" s="1"/>
  <c r="C18"/>
  <c r="C19"/>
  <c r="D19" s="1"/>
  <c r="C23"/>
  <c r="C24"/>
  <c r="B11" i="13" s="1"/>
  <c r="C26" i="4"/>
  <c r="C27"/>
  <c r="C29"/>
  <c r="C31"/>
  <c r="D31" s="1"/>
  <c r="E31" s="1"/>
  <c r="F31" s="1"/>
  <c r="G31" s="1"/>
  <c r="H31" s="1"/>
  <c r="I31" s="1"/>
  <c r="J31" s="1"/>
  <c r="K31" s="1"/>
  <c r="L31" s="1"/>
  <c r="M31" s="1"/>
  <c r="N31" s="1"/>
  <c r="O31" s="1"/>
  <c r="C4"/>
  <c r="B7" i="13" s="1"/>
  <c r="B14" l="1"/>
  <c r="B13" s="1"/>
  <c r="B39" i="2"/>
  <c r="B8" i="13"/>
  <c r="B10" s="1"/>
  <c r="B12" s="1"/>
  <c r="B17"/>
  <c r="B15" s="1"/>
  <c r="K15" i="16"/>
  <c r="C13" i="4"/>
  <c r="N41" i="16"/>
  <c r="B41" s="1"/>
  <c r="B40"/>
  <c r="L19"/>
  <c r="K20"/>
  <c r="B5" i="2"/>
  <c r="M17" i="12"/>
  <c r="L16"/>
  <c r="K17"/>
  <c r="M22" s="1"/>
  <c r="B17"/>
  <c r="D22" s="1"/>
  <c r="B14"/>
  <c r="B16"/>
  <c r="I18"/>
  <c r="J23" s="1"/>
  <c r="H16"/>
  <c r="F17"/>
  <c r="H22" s="1"/>
  <c r="E16"/>
  <c r="G17"/>
  <c r="I22" s="1"/>
  <c r="J17"/>
  <c r="L22" s="1"/>
  <c r="D18"/>
  <c r="E23" s="1"/>
  <c r="K16"/>
  <c r="C16"/>
  <c r="C18"/>
  <c r="D23" s="1"/>
  <c r="I8" i="4"/>
  <c r="H8" i="13" s="1"/>
  <c r="I9" i="4"/>
  <c r="O8"/>
  <c r="N8" i="13" s="1"/>
  <c r="O9" i="4"/>
  <c r="L8"/>
  <c r="L9"/>
  <c r="M8"/>
  <c r="M9"/>
  <c r="N8"/>
  <c r="M8" i="13" s="1"/>
  <c r="N9" i="4"/>
  <c r="K8"/>
  <c r="J8" i="13" s="1"/>
  <c r="K9" i="4"/>
  <c r="J8"/>
  <c r="J9"/>
  <c r="F8"/>
  <c r="F9"/>
  <c r="E8"/>
  <c r="D8" i="13" s="1"/>
  <c r="E9" i="4"/>
  <c r="H9"/>
  <c r="H8"/>
  <c r="G8"/>
  <c r="G9"/>
  <c r="D9"/>
  <c r="D8"/>
  <c r="B18" i="12"/>
  <c r="C23" s="1"/>
  <c r="C24" s="1"/>
  <c r="B17" i="3"/>
  <c r="D6" i="4" s="1"/>
  <c r="D5"/>
  <c r="C17" i="3" s="1"/>
  <c r="J18" i="12"/>
  <c r="K23" s="1"/>
  <c r="K18"/>
  <c r="L23" s="1"/>
  <c r="G18"/>
  <c r="H23" s="1"/>
  <c r="D17"/>
  <c r="F22" s="1"/>
  <c r="C17"/>
  <c r="E22" s="1"/>
  <c r="D16"/>
  <c r="J16"/>
  <c r="G16"/>
  <c r="H7" i="3"/>
  <c r="M18" i="12"/>
  <c r="F16"/>
  <c r="F7" i="3"/>
  <c r="G7"/>
  <c r="I16" i="12"/>
  <c r="L17"/>
  <c r="D7" i="3"/>
  <c r="H18" i="12"/>
  <c r="I23" s="1"/>
  <c r="I17"/>
  <c r="K22" s="1"/>
  <c r="M16"/>
  <c r="F18"/>
  <c r="G23" s="1"/>
  <c r="E18"/>
  <c r="F23" s="1"/>
  <c r="L7" i="3"/>
  <c r="J7"/>
  <c r="I7"/>
  <c r="M7"/>
  <c r="C7"/>
  <c r="E7"/>
  <c r="K7"/>
  <c r="H17" i="12"/>
  <c r="J22" s="1"/>
  <c r="E17"/>
  <c r="G22" s="1"/>
  <c r="L18"/>
  <c r="M23" s="1"/>
  <c r="E19" i="4"/>
  <c r="F19" s="1"/>
  <c r="G19" s="1"/>
  <c r="H19" s="1"/>
  <c r="I19" s="1"/>
  <c r="J19" s="1"/>
  <c r="K19" s="1"/>
  <c r="L19" s="1"/>
  <c r="M19" s="1"/>
  <c r="N19" s="1"/>
  <c r="O19" s="1"/>
  <c r="D27"/>
  <c r="E27" s="1"/>
  <c r="F27" s="1"/>
  <c r="G27" s="1"/>
  <c r="H27" s="1"/>
  <c r="I27" s="1"/>
  <c r="J27" s="1"/>
  <c r="K27" s="1"/>
  <c r="L27" s="1"/>
  <c r="M27" s="1"/>
  <c r="N27" s="1"/>
  <c r="B18" i="2"/>
  <c r="D17" i="4"/>
  <c r="N19" i="3"/>
  <c r="D22"/>
  <c r="E22"/>
  <c r="F22"/>
  <c r="G22"/>
  <c r="H22"/>
  <c r="I22"/>
  <c r="J22"/>
  <c r="K22"/>
  <c r="L22"/>
  <c r="M22"/>
  <c r="B22"/>
  <c r="M50" i="2"/>
  <c r="L50"/>
  <c r="D50"/>
  <c r="E50"/>
  <c r="F50"/>
  <c r="G50"/>
  <c r="H50"/>
  <c r="I50"/>
  <c r="J50"/>
  <c r="K50"/>
  <c r="C50"/>
  <c r="B50"/>
  <c r="F8" i="13" l="1"/>
  <c r="I8"/>
  <c r="K8"/>
  <c r="C8"/>
  <c r="B18"/>
  <c r="B20" s="1"/>
  <c r="G8"/>
  <c r="E8"/>
  <c r="L8"/>
  <c r="K7" i="16"/>
  <c r="L14" s="1"/>
  <c r="N42"/>
  <c r="L20"/>
  <c r="N19"/>
  <c r="M19"/>
  <c r="B28" i="3"/>
  <c r="C5" i="17" s="1"/>
  <c r="C7" s="1"/>
  <c r="C8" s="1"/>
  <c r="D27" i="12"/>
  <c r="D42" i="2" s="1"/>
  <c r="D44" s="1"/>
  <c r="D46" s="1"/>
  <c r="D24" i="12"/>
  <c r="E8" i="3"/>
  <c r="D8"/>
  <c r="M14" i="12"/>
  <c r="J8" i="3"/>
  <c r="D14" i="12"/>
  <c r="L14"/>
  <c r="I14"/>
  <c r="D10" i="4"/>
  <c r="C9" i="13" s="1"/>
  <c r="C14" i="12"/>
  <c r="H14"/>
  <c r="D19"/>
  <c r="K14"/>
  <c r="F14"/>
  <c r="J14"/>
  <c r="E14"/>
  <c r="G14"/>
  <c r="J19"/>
  <c r="G19"/>
  <c r="C19"/>
  <c r="I21"/>
  <c r="I24" s="1"/>
  <c r="F19"/>
  <c r="E21"/>
  <c r="E24" s="1"/>
  <c r="B19"/>
  <c r="D23" i="4" s="1"/>
  <c r="I19" i="12"/>
  <c r="M19"/>
  <c r="K19"/>
  <c r="E19"/>
  <c r="H19"/>
  <c r="L19"/>
  <c r="L21"/>
  <c r="L24" s="1"/>
  <c r="J21"/>
  <c r="J24" s="1"/>
  <c r="G21"/>
  <c r="G24" s="1"/>
  <c r="M21"/>
  <c r="H21"/>
  <c r="K21"/>
  <c r="K24" s="1"/>
  <c r="F21"/>
  <c r="F24" s="1"/>
  <c r="K8" i="3"/>
  <c r="F27" i="12"/>
  <c r="F20" i="3" s="1"/>
  <c r="I28"/>
  <c r="J5" i="17" s="1"/>
  <c r="J7" s="1"/>
  <c r="H28" i="3"/>
  <c r="I5" i="17" s="1"/>
  <c r="I7" s="1"/>
  <c r="J28" i="3"/>
  <c r="K5" i="17" s="1"/>
  <c r="K7" s="1"/>
  <c r="M28" i="3"/>
  <c r="N5" i="17" s="1"/>
  <c r="N7" s="1"/>
  <c r="F28" i="3"/>
  <c r="G5" i="17" s="1"/>
  <c r="G7" s="1"/>
  <c r="G28" i="3"/>
  <c r="H5" i="17" s="1"/>
  <c r="H7" s="1"/>
  <c r="D28" i="3"/>
  <c r="E5" i="17" s="1"/>
  <c r="E7" s="1"/>
  <c r="L28" i="3"/>
  <c r="M5" i="17" s="1"/>
  <c r="M7" s="1"/>
  <c r="K28" i="3"/>
  <c r="L5" i="17" s="1"/>
  <c r="L7" s="1"/>
  <c r="E28" i="3"/>
  <c r="F5" i="17" s="1"/>
  <c r="F7" s="1"/>
  <c r="C28" i="3"/>
  <c r="D5" i="17" s="1"/>
  <c r="D7" s="1"/>
  <c r="F8" i="3"/>
  <c r="I8"/>
  <c r="C27" i="12"/>
  <c r="C20" i="3" s="1"/>
  <c r="H8"/>
  <c r="G8"/>
  <c r="G27" i="12"/>
  <c r="G42" i="2" s="1"/>
  <c r="G44" s="1"/>
  <c r="G46" s="1"/>
  <c r="M8" i="3"/>
  <c r="J27" i="12"/>
  <c r="J42" i="2" s="1"/>
  <c r="K27" i="12"/>
  <c r="K20" i="3" s="1"/>
  <c r="B27" i="12"/>
  <c r="B20" i="3" s="1"/>
  <c r="H27" i="12"/>
  <c r="H42" i="2" s="1"/>
  <c r="M27" i="12"/>
  <c r="M20" i="3" s="1"/>
  <c r="I27" i="12"/>
  <c r="I20" i="3" s="1"/>
  <c r="C8"/>
  <c r="L8"/>
  <c r="E27" i="12"/>
  <c r="E20" i="3" s="1"/>
  <c r="L27" i="12"/>
  <c r="E17" i="4"/>
  <c r="F17" s="1"/>
  <c r="G17" s="1"/>
  <c r="H17" s="1"/>
  <c r="I17" s="1"/>
  <c r="J17" s="1"/>
  <c r="K17" s="1"/>
  <c r="L17" s="1"/>
  <c r="M17" s="1"/>
  <c r="N17" s="1"/>
  <c r="O17" s="1"/>
  <c r="F16"/>
  <c r="E5"/>
  <c r="K17" i="2"/>
  <c r="K10"/>
  <c r="K16"/>
  <c r="C10"/>
  <c r="F15"/>
  <c r="C16"/>
  <c r="C17"/>
  <c r="L16"/>
  <c r="L17"/>
  <c r="L10"/>
  <c r="H10"/>
  <c r="K15"/>
  <c r="H16"/>
  <c r="H17"/>
  <c r="G15"/>
  <c r="D16"/>
  <c r="D17"/>
  <c r="D10"/>
  <c r="E16"/>
  <c r="E17"/>
  <c r="E10"/>
  <c r="H15"/>
  <c r="M16"/>
  <c r="M17"/>
  <c r="M10"/>
  <c r="I16"/>
  <c r="I17"/>
  <c r="I10"/>
  <c r="L15"/>
  <c r="B17"/>
  <c r="B10"/>
  <c r="B16"/>
  <c r="N3" i="3"/>
  <c r="J17" i="2"/>
  <c r="J10"/>
  <c r="M15"/>
  <c r="J16"/>
  <c r="F17"/>
  <c r="F10"/>
  <c r="I15"/>
  <c r="F16"/>
  <c r="N22" i="3"/>
  <c r="G10" i="2"/>
  <c r="J15"/>
  <c r="G16"/>
  <c r="G17"/>
  <c r="D11" i="4" l="1"/>
  <c r="D25"/>
  <c r="D8" i="17"/>
  <c r="B2" i="14"/>
  <c r="B8" s="1"/>
  <c r="B9" s="1"/>
  <c r="B13" i="2" s="1"/>
  <c r="B12" s="1"/>
  <c r="K2" i="14"/>
  <c r="M6" s="1"/>
  <c r="E2"/>
  <c r="F7" s="1"/>
  <c r="H2"/>
  <c r="I7" s="1"/>
  <c r="C2"/>
  <c r="D7" s="1"/>
  <c r="J2"/>
  <c r="J8" s="1"/>
  <c r="D2"/>
  <c r="G5" s="1"/>
  <c r="L2"/>
  <c r="M7" s="1"/>
  <c r="I2"/>
  <c r="J7" s="1"/>
  <c r="M2"/>
  <c r="M8" s="1"/>
  <c r="C10" i="13"/>
  <c r="G2" i="14"/>
  <c r="H7" s="1"/>
  <c r="F2"/>
  <c r="F8" s="1"/>
  <c r="L15" i="16"/>
  <c r="N38"/>
  <c r="B38" s="1"/>
  <c r="B42"/>
  <c r="M20"/>
  <c r="N20"/>
  <c r="H8" i="14"/>
  <c r="E23" i="4"/>
  <c r="F23" s="1"/>
  <c r="G23" s="1"/>
  <c r="H23" s="1"/>
  <c r="I23" s="1"/>
  <c r="D26" i="12"/>
  <c r="D9" i="2" s="1"/>
  <c r="D8" s="1"/>
  <c r="E10" i="4"/>
  <c r="D9" i="13" s="1"/>
  <c r="D10" s="1"/>
  <c r="J26" i="12"/>
  <c r="J9" i="2" s="1"/>
  <c r="J8" s="1"/>
  <c r="C26" i="12"/>
  <c r="C9" i="2" s="1"/>
  <c r="C8" s="1"/>
  <c r="G26" i="12"/>
  <c r="G9" i="2" s="1"/>
  <c r="G8" s="1"/>
  <c r="L26" i="12"/>
  <c r="L9" i="2" s="1"/>
  <c r="L8" s="1"/>
  <c r="B26" i="12"/>
  <c r="B9" i="2" s="1"/>
  <c r="B8" s="1"/>
  <c r="K26" i="12"/>
  <c r="K9" i="2" s="1"/>
  <c r="K8" s="1"/>
  <c r="M24" i="12"/>
  <c r="M26" s="1"/>
  <c r="M9" i="2" s="1"/>
  <c r="M8" s="1"/>
  <c r="I26" i="12"/>
  <c r="I9" i="2" s="1"/>
  <c r="I8" s="1"/>
  <c r="F26" i="12"/>
  <c r="F9" i="2" s="1"/>
  <c r="F8" s="1"/>
  <c r="H24" i="12"/>
  <c r="H26" s="1"/>
  <c r="H9" i="2" s="1"/>
  <c r="H8" s="1"/>
  <c r="E26" i="12"/>
  <c r="E9" i="2" s="1"/>
  <c r="E8" s="1"/>
  <c r="F42"/>
  <c r="F44" s="1"/>
  <c r="F46" s="1"/>
  <c r="D20" i="3"/>
  <c r="J20"/>
  <c r="K42" i="2"/>
  <c r="C42"/>
  <c r="C44" s="1"/>
  <c r="C46" s="1"/>
  <c r="G20" i="3"/>
  <c r="B42" i="2"/>
  <c r="B44" s="1"/>
  <c r="B46" s="1"/>
  <c r="M42"/>
  <c r="H20" i="3"/>
  <c r="I42" i="2"/>
  <c r="E42"/>
  <c r="L42"/>
  <c r="L20" i="3"/>
  <c r="G18" i="2"/>
  <c r="D26" i="4"/>
  <c r="E26" s="1"/>
  <c r="F26" s="1"/>
  <c r="G26" s="1"/>
  <c r="H26" s="1"/>
  <c r="E15" i="2"/>
  <c r="D29" i="4"/>
  <c r="E29" s="1"/>
  <c r="F29" s="1"/>
  <c r="G16"/>
  <c r="D17" i="3"/>
  <c r="C16"/>
  <c r="C18" s="1"/>
  <c r="C23" s="1"/>
  <c r="F5" i="4"/>
  <c r="E17" i="3" s="1"/>
  <c r="J16"/>
  <c r="N4"/>
  <c r="B7"/>
  <c r="B8" s="1"/>
  <c r="N10"/>
  <c r="N15"/>
  <c r="N9"/>
  <c r="M16"/>
  <c r="L16"/>
  <c r="K16"/>
  <c r="N6"/>
  <c r="E16"/>
  <c r="N5"/>
  <c r="G16"/>
  <c r="F16"/>
  <c r="N13"/>
  <c r="N11"/>
  <c r="D16"/>
  <c r="H16"/>
  <c r="N12"/>
  <c r="I16"/>
  <c r="E8" i="17" l="1"/>
  <c r="E25" i="4"/>
  <c r="E11"/>
  <c r="G8" i="14"/>
  <c r="J6"/>
  <c r="K5"/>
  <c r="E7"/>
  <c r="C14" i="13"/>
  <c r="C13" s="1"/>
  <c r="I6" i="14"/>
  <c r="F6"/>
  <c r="D8"/>
  <c r="L8"/>
  <c r="J5"/>
  <c r="H5"/>
  <c r="E8"/>
  <c r="K7"/>
  <c r="L5"/>
  <c r="G7"/>
  <c r="I5"/>
  <c r="H6"/>
  <c r="F5"/>
  <c r="K6"/>
  <c r="K8"/>
  <c r="G6"/>
  <c r="D6"/>
  <c r="L7"/>
  <c r="L6"/>
  <c r="E6"/>
  <c r="I8"/>
  <c r="C7"/>
  <c r="M5"/>
  <c r="M9" s="1"/>
  <c r="M13" i="2" s="1"/>
  <c r="E5" i="14"/>
  <c r="C8"/>
  <c r="L7" i="16"/>
  <c r="M14" s="1"/>
  <c r="B20"/>
  <c r="F10" i="4"/>
  <c r="E9" i="13" s="1"/>
  <c r="E10" s="1"/>
  <c r="J23" i="4"/>
  <c r="K23" s="1"/>
  <c r="L23" s="1"/>
  <c r="M23" s="1"/>
  <c r="N23" s="1"/>
  <c r="O23" s="1"/>
  <c r="N20" i="3"/>
  <c r="I26" i="4"/>
  <c r="J26" s="1"/>
  <c r="K26" s="1"/>
  <c r="L26" s="1"/>
  <c r="M26" s="1"/>
  <c r="N26" s="1"/>
  <c r="O26" s="1"/>
  <c r="G29"/>
  <c r="H29" s="1"/>
  <c r="I29" s="1"/>
  <c r="J29" s="1"/>
  <c r="K29" s="1"/>
  <c r="L29" s="1"/>
  <c r="M29" s="1"/>
  <c r="N29" s="1"/>
  <c r="O29" s="1"/>
  <c r="H16"/>
  <c r="D18" i="3"/>
  <c r="D23" s="1"/>
  <c r="G5" i="4"/>
  <c r="F17" i="3" s="1"/>
  <c r="E18"/>
  <c r="E23" s="1"/>
  <c r="N7"/>
  <c r="B16"/>
  <c r="N8"/>
  <c r="E6" i="4"/>
  <c r="F25" l="1"/>
  <c r="F8" i="17"/>
  <c r="F9"/>
  <c r="E39" i="2" s="1"/>
  <c r="F10" i="17"/>
  <c r="F11" i="4"/>
  <c r="G9" i="14"/>
  <c r="G13" i="2" s="1"/>
  <c r="D9" i="14"/>
  <c r="D13" i="2" s="1"/>
  <c r="C9" i="14"/>
  <c r="C13" i="2" s="1"/>
  <c r="F9" i="14"/>
  <c r="F13" i="2" s="1"/>
  <c r="J9" i="14"/>
  <c r="J13" i="2" s="1"/>
  <c r="I9" i="14"/>
  <c r="I13" i="2" s="1"/>
  <c r="H9" i="14"/>
  <c r="H13" i="2" s="1"/>
  <c r="L9" i="14"/>
  <c r="L13" i="2" s="1"/>
  <c r="E9" i="14"/>
  <c r="E13" i="2" s="1"/>
  <c r="K9" i="14"/>
  <c r="K13" i="2" s="1"/>
  <c r="C17" i="13"/>
  <c r="C15" s="1"/>
  <c r="D14"/>
  <c r="D13" s="1"/>
  <c r="M15" i="16"/>
  <c r="G10" i="4"/>
  <c r="F9" i="13" s="1"/>
  <c r="F10" s="1"/>
  <c r="I16" i="4"/>
  <c r="H5"/>
  <c r="G17" i="3" s="1"/>
  <c r="F18"/>
  <c r="F23" s="1"/>
  <c r="B18"/>
  <c r="N16"/>
  <c r="F6" i="4"/>
  <c r="G11" l="1"/>
  <c r="G8" i="17"/>
  <c r="G25" i="4"/>
  <c r="E14" i="13"/>
  <c r="E13" s="1"/>
  <c r="M7" i="16"/>
  <c r="H10" i="4"/>
  <c r="G9" i="13" s="1"/>
  <c r="G10" s="1"/>
  <c r="B20" i="2"/>
  <c r="B49" s="1"/>
  <c r="B51" s="1"/>
  <c r="D12" i="4" s="1"/>
  <c r="C19" i="13" s="1"/>
  <c r="C12" i="2"/>
  <c r="D24" i="4"/>
  <c r="C11" i="13" s="1"/>
  <c r="C12" s="1"/>
  <c r="C18" s="1"/>
  <c r="J16" i="4"/>
  <c r="B23" i="3"/>
  <c r="I5" i="4"/>
  <c r="H17" i="3" s="1"/>
  <c r="G18"/>
  <c r="G23" s="1"/>
  <c r="G6" i="4"/>
  <c r="H8" i="17" l="1"/>
  <c r="H11" i="4"/>
  <c r="H25"/>
  <c r="D17" i="13"/>
  <c r="D15" s="1"/>
  <c r="C20"/>
  <c r="N14" i="16"/>
  <c r="I10" i="4"/>
  <c r="H9" i="13" s="1"/>
  <c r="H10" s="1"/>
  <c r="D13" i="4"/>
  <c r="E24"/>
  <c r="D11" i="13" s="1"/>
  <c r="D12" s="1"/>
  <c r="C5" i="2"/>
  <c r="B24" i="3"/>
  <c r="K16" i="4"/>
  <c r="H18" i="3"/>
  <c r="J5" i="4"/>
  <c r="I17" i="3" s="1"/>
  <c r="C20" i="2"/>
  <c r="H6" i="4"/>
  <c r="I11" l="1"/>
  <c r="I9" i="17"/>
  <c r="H39" i="2" s="1"/>
  <c r="I25" i="4"/>
  <c r="I10" i="17"/>
  <c r="D18" i="13"/>
  <c r="N15" i="16"/>
  <c r="B14"/>
  <c r="J10" i="4"/>
  <c r="I9" i="13" s="1"/>
  <c r="I10" s="1"/>
  <c r="E12" i="2"/>
  <c r="E20" s="1"/>
  <c r="D12"/>
  <c r="D20" s="1"/>
  <c r="C49"/>
  <c r="D5" s="1"/>
  <c r="C24" i="3"/>
  <c r="B26"/>
  <c r="D18" i="4" s="1"/>
  <c r="L16"/>
  <c r="K5"/>
  <c r="J17" i="3" s="1"/>
  <c r="I18"/>
  <c r="I6" i="4"/>
  <c r="I8" i="17" l="1"/>
  <c r="J8" s="1"/>
  <c r="J11" i="4"/>
  <c r="J25"/>
  <c r="B15" i="16"/>
  <c r="N7"/>
  <c r="K10" i="4"/>
  <c r="J9" i="13" s="1"/>
  <c r="J10" s="1"/>
  <c r="D49" i="2"/>
  <c r="E5" s="1"/>
  <c r="F12"/>
  <c r="F20" s="1"/>
  <c r="F24" i="4"/>
  <c r="E11" i="13" s="1"/>
  <c r="E12" s="1"/>
  <c r="C51" i="2"/>
  <c r="E12" i="4" s="1"/>
  <c r="D19" i="13" s="1"/>
  <c r="D20" s="1"/>
  <c r="C26" i="3"/>
  <c r="D24"/>
  <c r="M16" i="4"/>
  <c r="L5"/>
  <c r="K17" i="3" s="1"/>
  <c r="J6" i="4"/>
  <c r="K11" l="1"/>
  <c r="K25"/>
  <c r="K8" i="17"/>
  <c r="E44" i="2"/>
  <c r="E46" s="1"/>
  <c r="E49" s="1"/>
  <c r="F5" s="1"/>
  <c r="F49" s="1"/>
  <c r="F51" s="1"/>
  <c r="H12" i="4" s="1"/>
  <c r="G19" i="13" s="1"/>
  <c r="F14"/>
  <c r="F13" s="1"/>
  <c r="E17"/>
  <c r="E15" s="1"/>
  <c r="E18" s="1"/>
  <c r="F9" i="11"/>
  <c r="C21" i="4" s="1"/>
  <c r="D21" s="1"/>
  <c r="E21" s="1"/>
  <c r="F21" s="1"/>
  <c r="G21" s="1"/>
  <c r="H21" s="1"/>
  <c r="I21" s="1"/>
  <c r="J21" s="1"/>
  <c r="K21" s="1"/>
  <c r="L21" s="1"/>
  <c r="M21" s="1"/>
  <c r="N21" s="1"/>
  <c r="O21" s="1"/>
  <c r="C21" i="16"/>
  <c r="C22" s="1"/>
  <c r="C18" s="1"/>
  <c r="L10" i="4"/>
  <c r="K9" i="13" s="1"/>
  <c r="K10" s="1"/>
  <c r="E13" i="4"/>
  <c r="G24"/>
  <c r="F11" i="13" s="1"/>
  <c r="F12" s="1"/>
  <c r="H12" i="2"/>
  <c r="H20" s="1"/>
  <c r="D51"/>
  <c r="F12" i="4" s="1"/>
  <c r="E19" i="13" s="1"/>
  <c r="G12" i="2"/>
  <c r="G20" s="1"/>
  <c r="E18" i="4"/>
  <c r="E24" i="3"/>
  <c r="D26"/>
  <c r="F18" i="4" s="1"/>
  <c r="N16"/>
  <c r="J18" i="3"/>
  <c r="M5" i="4"/>
  <c r="L17" i="3" s="1"/>
  <c r="K6" i="4"/>
  <c r="L25" l="1"/>
  <c r="L9" i="17"/>
  <c r="K39" i="2" s="1"/>
  <c r="L10" i="17"/>
  <c r="L11" i="4"/>
  <c r="G14" i="13"/>
  <c r="G13" s="1"/>
  <c r="F17"/>
  <c r="F15" s="1"/>
  <c r="F18" s="1"/>
  <c r="E20"/>
  <c r="D21" i="16"/>
  <c r="D22" s="1"/>
  <c r="D18" s="1"/>
  <c r="H24" i="4"/>
  <c r="G11" i="13" s="1"/>
  <c r="G12" s="1"/>
  <c r="M10" i="4"/>
  <c r="L9" i="13" s="1"/>
  <c r="L10" s="1"/>
  <c r="F13" i="4"/>
  <c r="G5" i="2"/>
  <c r="G49" s="1"/>
  <c r="H5" s="1"/>
  <c r="E51"/>
  <c r="G12" i="4" s="1"/>
  <c r="F19" i="13" s="1"/>
  <c r="I12" i="2"/>
  <c r="I20" s="1"/>
  <c r="E26" i="3"/>
  <c r="G18" i="4" s="1"/>
  <c r="F24" i="3"/>
  <c r="O16" i="4"/>
  <c r="K18" i="3"/>
  <c r="L18"/>
  <c r="N5" i="4"/>
  <c r="M17" i="3" s="1"/>
  <c r="L6" i="4"/>
  <c r="L8" i="17" l="1"/>
  <c r="H14" i="13"/>
  <c r="H13" s="1"/>
  <c r="H13" i="4"/>
  <c r="G17" i="13"/>
  <c r="G15" s="1"/>
  <c r="G18" s="1"/>
  <c r="G20" s="1"/>
  <c r="F20"/>
  <c r="E21" i="16"/>
  <c r="E22" s="1"/>
  <c r="E18" s="1"/>
  <c r="F21" s="1"/>
  <c r="I24" i="4"/>
  <c r="H11" i="13" s="1"/>
  <c r="H12" s="1"/>
  <c r="N10" i="4"/>
  <c r="M9" i="13" s="1"/>
  <c r="M10" s="1"/>
  <c r="G13" i="4"/>
  <c r="G51" i="2"/>
  <c r="I12" i="4" s="1"/>
  <c r="H19" i="13" s="1"/>
  <c r="J12" i="2"/>
  <c r="J20" s="1"/>
  <c r="F26" i="3"/>
  <c r="H18" i="4" s="1"/>
  <c r="G24" i="3"/>
  <c r="O5" i="4"/>
  <c r="M6"/>
  <c r="M8" i="17" l="1"/>
  <c r="M25" i="4"/>
  <c r="M11"/>
  <c r="I14" i="13"/>
  <c r="I13" s="1"/>
  <c r="H17"/>
  <c r="H15" s="1"/>
  <c r="H18" s="1"/>
  <c r="H20" s="1"/>
  <c r="F22" i="16"/>
  <c r="J24" i="4"/>
  <c r="I11" i="13" s="1"/>
  <c r="I12" s="1"/>
  <c r="I13" i="4"/>
  <c r="O10"/>
  <c r="N9" i="13" s="1"/>
  <c r="N10" s="1"/>
  <c r="K12" i="2"/>
  <c r="K20" s="1"/>
  <c r="N17" i="3"/>
  <c r="G26"/>
  <c r="I18" i="4" s="1"/>
  <c r="M18" i="3"/>
  <c r="N6" i="4"/>
  <c r="N25" l="1"/>
  <c r="N8" i="17"/>
  <c r="N11" i="4"/>
  <c r="J14" i="13"/>
  <c r="J13" s="1"/>
  <c r="I17"/>
  <c r="I15" s="1"/>
  <c r="I18" s="1"/>
  <c r="F18" i="16"/>
  <c r="K24" i="4"/>
  <c r="J11" i="13" s="1"/>
  <c r="J12" s="1"/>
  <c r="L12" i="2"/>
  <c r="L20" s="1"/>
  <c r="N18" i="3"/>
  <c r="O6" i="4"/>
  <c r="O11" l="1"/>
  <c r="O25"/>
  <c r="K14" i="13"/>
  <c r="K13" s="1"/>
  <c r="J17"/>
  <c r="J15" s="1"/>
  <c r="J18" s="1"/>
  <c r="G21" i="16"/>
  <c r="L24" i="4"/>
  <c r="K11" i="13" s="1"/>
  <c r="K12" s="1"/>
  <c r="L14" l="1"/>
  <c r="L13" s="1"/>
  <c r="K17"/>
  <c r="K15" s="1"/>
  <c r="K18" s="1"/>
  <c r="G22" i="16"/>
  <c r="M24" i="4"/>
  <c r="L11" i="13" s="1"/>
  <c r="L12" s="1"/>
  <c r="M12" i="2"/>
  <c r="M20" s="1"/>
  <c r="M14" i="13" l="1"/>
  <c r="M13" s="1"/>
  <c r="L17"/>
  <c r="L15" s="1"/>
  <c r="L18" s="1"/>
  <c r="G18" i="16"/>
  <c r="N24" i="4"/>
  <c r="M11" i="13" s="1"/>
  <c r="M12" s="1"/>
  <c r="N14" l="1"/>
  <c r="N13" s="1"/>
  <c r="M17"/>
  <c r="M15" s="1"/>
  <c r="M18" s="1"/>
  <c r="H21" i="16"/>
  <c r="H22" s="1"/>
  <c r="O24" i="4"/>
  <c r="N11" i="13" s="1"/>
  <c r="N12" s="1"/>
  <c r="H18" i="16" l="1"/>
  <c r="I21" s="1"/>
  <c r="I22" s="1"/>
  <c r="I18" s="1"/>
  <c r="J43" i="2"/>
  <c r="J44" s="1"/>
  <c r="J46" s="1"/>
  <c r="J23" i="3"/>
  <c r="M43" i="2"/>
  <c r="M44" s="1"/>
  <c r="M46" s="1"/>
  <c r="M23" i="3"/>
  <c r="L43" i="2"/>
  <c r="L44" s="1"/>
  <c r="L46" s="1"/>
  <c r="L23" i="3"/>
  <c r="H43" i="2"/>
  <c r="H44" s="1"/>
  <c r="H46" s="1"/>
  <c r="H49" s="1"/>
  <c r="N21" i="3"/>
  <c r="H23"/>
  <c r="K43" i="2"/>
  <c r="K44" s="1"/>
  <c r="K46" s="1"/>
  <c r="K23" i="3"/>
  <c r="I43" i="2"/>
  <c r="I44" s="1"/>
  <c r="I46" s="1"/>
  <c r="I23" i="3"/>
  <c r="J21" i="16" l="1"/>
  <c r="J22" s="1"/>
  <c r="J18" s="1"/>
  <c r="H24" i="3"/>
  <c r="N23"/>
  <c r="I5" i="2"/>
  <c r="I49" s="1"/>
  <c r="H51"/>
  <c r="J12" i="4" s="1"/>
  <c r="I19" i="13" s="1"/>
  <c r="I20" s="1"/>
  <c r="K21" i="16" l="1"/>
  <c r="K22" s="1"/>
  <c r="K18" s="1"/>
  <c r="J13" i="4"/>
  <c r="H26" i="3"/>
  <c r="J18" i="4" s="1"/>
  <c r="I24" i="3"/>
  <c r="J5" i="2"/>
  <c r="J49" s="1"/>
  <c r="I51"/>
  <c r="K12" i="4" s="1"/>
  <c r="J19" i="13" s="1"/>
  <c r="J20" s="1"/>
  <c r="L21" i="16" l="1"/>
  <c r="L22" s="1"/>
  <c r="L18" s="1"/>
  <c r="K13" i="4"/>
  <c r="J24" i="3"/>
  <c r="I26"/>
  <c r="K18" i="4" s="1"/>
  <c r="K5" i="2"/>
  <c r="K49" s="1"/>
  <c r="J51"/>
  <c r="L12" i="4" s="1"/>
  <c r="K19" i="13" s="1"/>
  <c r="K20" s="1"/>
  <c r="M21" i="16" l="1"/>
  <c r="M22" s="1"/>
  <c r="M18" s="1"/>
  <c r="L13" i="4"/>
  <c r="K24" i="3"/>
  <c r="J26"/>
  <c r="L18" i="4" s="1"/>
  <c r="K51" i="2"/>
  <c r="M12" i="4" s="1"/>
  <c r="L19" i="13" s="1"/>
  <c r="L20" s="1"/>
  <c r="L5" i="2"/>
  <c r="L49" s="1"/>
  <c r="N21" i="16" l="1"/>
  <c r="M13" i="4"/>
  <c r="L24" i="3"/>
  <c r="K26"/>
  <c r="M18" i="4" s="1"/>
  <c r="M5" i="2"/>
  <c r="M49" s="1"/>
  <c r="M51" s="1"/>
  <c r="O12" i="4" s="1"/>
  <c r="N19" i="13" s="1"/>
  <c r="L51" i="2"/>
  <c r="N12" i="4" s="1"/>
  <c r="M19" i="13" s="1"/>
  <c r="M20" s="1"/>
  <c r="N22" i="16" l="1"/>
  <c r="B21"/>
  <c r="N13" i="4"/>
  <c r="M24" i="3"/>
  <c r="L26"/>
  <c r="N18" i="4" s="1"/>
  <c r="O13"/>
  <c r="B22" i="16" l="1"/>
  <c r="N18"/>
  <c r="M25" i="3"/>
  <c r="O27" i="4" s="1"/>
  <c r="N17" i="13" l="1"/>
  <c r="N15" s="1"/>
  <c r="N18" s="1"/>
  <c r="N20" s="1"/>
  <c r="M26" i="3"/>
  <c r="O18" i="4" s="1"/>
  <c r="F20" i="11" l="1"/>
  <c r="C20" i="4"/>
  <c r="D20" s="1"/>
  <c r="E20" s="1"/>
  <c r="F20" s="1"/>
  <c r="G20" s="1"/>
  <c r="H20" s="1"/>
  <c r="I20" s="1"/>
  <c r="J20" s="1"/>
  <c r="K20" s="1"/>
  <c r="L20" s="1"/>
  <c r="M20" s="1"/>
  <c r="N20" s="1"/>
  <c r="O20" s="1"/>
  <c r="C32" l="1"/>
  <c r="D32" l="1"/>
  <c r="D33" s="1"/>
  <c r="E32"/>
  <c r="E33" s="1"/>
  <c r="F32" l="1"/>
  <c r="F33" s="1"/>
  <c r="G32" l="1"/>
  <c r="G33" s="1"/>
  <c r="H32" l="1"/>
  <c r="H33" s="1"/>
  <c r="I32" l="1"/>
  <c r="I33" s="1"/>
  <c r="J32" l="1"/>
  <c r="J33" s="1"/>
  <c r="K32" l="1"/>
  <c r="K33" s="1"/>
  <c r="L32" l="1"/>
  <c r="L33" s="1"/>
  <c r="M32" l="1"/>
  <c r="M33" s="1"/>
  <c r="N32" l="1"/>
  <c r="N33" s="1"/>
  <c r="O32" l="1"/>
  <c r="O33" s="1"/>
</calcChain>
</file>

<file path=xl/sharedStrings.xml><?xml version="1.0" encoding="utf-8"?>
<sst xmlns="http://schemas.openxmlformats.org/spreadsheetml/2006/main" count="504" uniqueCount="316">
  <si>
    <t>ACTIVO</t>
  </si>
  <si>
    <t>Enero</t>
  </si>
  <si>
    <t>Gastos financieros</t>
  </si>
  <si>
    <t>Febrero</t>
  </si>
  <si>
    <t>Marzo</t>
  </si>
  <si>
    <t>Abril</t>
  </si>
  <si>
    <t>Mayo</t>
  </si>
  <si>
    <t>Junio</t>
  </si>
  <si>
    <t>Julio</t>
  </si>
  <si>
    <t>Agosto</t>
  </si>
  <si>
    <t>Septiembre</t>
  </si>
  <si>
    <t>Octubre</t>
  </si>
  <si>
    <t>Noviembre</t>
  </si>
  <si>
    <t>Diciembre</t>
  </si>
  <si>
    <t>Cobros</t>
  </si>
  <si>
    <t>Pagos compras</t>
  </si>
  <si>
    <t>Gastos de personal</t>
  </si>
  <si>
    <t>Dividendos</t>
  </si>
  <si>
    <t>Ampliaciones capital</t>
  </si>
  <si>
    <t xml:space="preserve">Total </t>
  </si>
  <si>
    <t>Saldo inicial</t>
  </si>
  <si>
    <t>Saldo final</t>
  </si>
  <si>
    <t>Saldo mínimo</t>
  </si>
  <si>
    <t>Excedente (déficit)</t>
  </si>
  <si>
    <t>BALANCE</t>
  </si>
  <si>
    <t>Pagos</t>
  </si>
  <si>
    <t>Explotación</t>
  </si>
  <si>
    <t>Cobros ventas año base</t>
  </si>
  <si>
    <t>Pago compras año base</t>
  </si>
  <si>
    <t>Cobros Ventas</t>
  </si>
  <si>
    <t>No Explotación</t>
  </si>
  <si>
    <t>Compra Inmovilizado</t>
  </si>
  <si>
    <t>Otros</t>
  </si>
  <si>
    <t>BALANCE INICIAL</t>
  </si>
  <si>
    <t xml:space="preserve">Cuota amortización </t>
  </si>
  <si>
    <t xml:space="preserve">Venta </t>
  </si>
  <si>
    <t>Entradas</t>
  </si>
  <si>
    <t>Compra</t>
  </si>
  <si>
    <t>Ventas plazo de cobro</t>
  </si>
  <si>
    <t>Venta Inmovil.: Amortiz</t>
  </si>
  <si>
    <t>Venta Inmovil.: Coste Hist.</t>
  </si>
  <si>
    <t>Venta Inmovil.: Precio vta</t>
  </si>
  <si>
    <t>Salidas</t>
  </si>
  <si>
    <t>Neto</t>
  </si>
  <si>
    <t xml:space="preserve">Neto </t>
  </si>
  <si>
    <t>Saldo de tesorería mín.</t>
  </si>
  <si>
    <t>VENTAS</t>
  </si>
  <si>
    <t>COSTE PROD: MATERIA PRIMA</t>
  </si>
  <si>
    <t>COSTES COMERCIALIZACIÓN</t>
  </si>
  <si>
    <t>COSTES DE VENTAS</t>
  </si>
  <si>
    <t>MARGEN</t>
  </si>
  <si>
    <t>OTROS INGRESOS</t>
  </si>
  <si>
    <t>SERVICIO EXTERIOR</t>
  </si>
  <si>
    <t>PRIMA DE SEGUROS</t>
  </si>
  <si>
    <t>MANTENIMIENTO</t>
  </si>
  <si>
    <t>TRIBUTOS</t>
  </si>
  <si>
    <t>GASTOS DE PERSONAL</t>
  </si>
  <si>
    <t>RDO. BRUTO EXPLOT.</t>
  </si>
  <si>
    <t>RESULTADO NETO EXPLOTACION</t>
  </si>
  <si>
    <t>INGRESOS FINANCIEROS</t>
  </si>
  <si>
    <t>INTERES DESCUENTO DE EFECTOS</t>
  </si>
  <si>
    <t>GASTOS FINANCIEROS</t>
  </si>
  <si>
    <t>PLUSVALIA/MINUSVALIA</t>
  </si>
  <si>
    <t>RESULTADO ACTIVIDAD ORDINARIA</t>
  </si>
  <si>
    <t>AMORTIZACIONES</t>
  </si>
  <si>
    <t>INMOVILIZADO FINANCIERO</t>
  </si>
  <si>
    <t>EXIST. FINAL DE MATERIA PRIMA</t>
  </si>
  <si>
    <t>EXIST. FINAL PR. TERMINADO</t>
  </si>
  <si>
    <t xml:space="preserve">CLIENTES </t>
  </si>
  <si>
    <t>TESORERIA</t>
  </si>
  <si>
    <t xml:space="preserve">TOTAL </t>
  </si>
  <si>
    <t>PASIVO</t>
  </si>
  <si>
    <t>CAPITAL SOCIAL</t>
  </si>
  <si>
    <t>RESERVAS</t>
  </si>
  <si>
    <t>PERDIDAS Y GANANCIAS</t>
  </si>
  <si>
    <t>EMPRESTITOS</t>
  </si>
  <si>
    <t>PRESTAMOS A LARGO PLAZO</t>
  </si>
  <si>
    <t>CREDITO A CORTO PLAZO</t>
  </si>
  <si>
    <t>DEUDAS EFECTOS DESCONTADOS PEND. VTO</t>
  </si>
  <si>
    <t>PROVEEDORES</t>
  </si>
  <si>
    <t>ACREEDORES</t>
  </si>
  <si>
    <t>APLAZAMIENTO EN PAGO</t>
  </si>
  <si>
    <t>PROV POR INMOVILIZADO</t>
  </si>
  <si>
    <t>HAC. PUB. ACR.: IVA</t>
  </si>
  <si>
    <t>HAC. PUB. ACR.: TRIBUTOS</t>
  </si>
  <si>
    <t>HAC. PUB. ACR.:  IMPTO S/ SDES</t>
  </si>
  <si>
    <t>HAC. PUB. DEUDOR: IVA</t>
  </si>
  <si>
    <t>INMOV MAT e INMAT BRUTO</t>
  </si>
  <si>
    <t>RESULTADO ACUMULADO</t>
  </si>
  <si>
    <t>Compra Inmovil. Financ.</t>
  </si>
  <si>
    <t>Vent Inm. Fin: Precio Vta</t>
  </si>
  <si>
    <t>Vent Inm. Fin: Coste</t>
  </si>
  <si>
    <t>Credito a corto</t>
  </si>
  <si>
    <t>Deuda a corto, por el largo</t>
  </si>
  <si>
    <t>Emprestitos (para ño  2)</t>
  </si>
  <si>
    <t>Aplazamiento</t>
  </si>
  <si>
    <t>Deuda largo</t>
  </si>
  <si>
    <t>Emprestito</t>
  </si>
  <si>
    <t>Deuda a corto</t>
  </si>
  <si>
    <t>IVA</t>
  </si>
  <si>
    <t>TOTAL</t>
  </si>
  <si>
    <t>COSTE PROD: OTROS COSTE VAR</t>
  </si>
  <si>
    <t>DOT. AMORT  INMOV. MATERIAL</t>
  </si>
  <si>
    <t>Ampl de Capital: Nominal</t>
  </si>
  <si>
    <t>Ampl de Capital: Efectivo</t>
  </si>
  <si>
    <t>IMPUESTOS</t>
  </si>
  <si>
    <t>BENEFICIO DESPUÉS DE IMPUESTOS</t>
  </si>
  <si>
    <t>IMPUESTO DE SDES</t>
  </si>
  <si>
    <t>Aplazamiento en el pago</t>
  </si>
  <si>
    <t>Pago del aplazamiento</t>
  </si>
  <si>
    <t>Pago por acreedores</t>
  </si>
  <si>
    <t>Servicios exteriores</t>
  </si>
  <si>
    <t>HP Impuesto</t>
  </si>
  <si>
    <t>IVA EXPLOTACIÓN</t>
  </si>
  <si>
    <t>IVA NO EXPLOTACIÓN</t>
  </si>
  <si>
    <t>HP IVA</t>
  </si>
  <si>
    <t>HP: tributos</t>
  </si>
  <si>
    <t>Cobro otros ingresos</t>
  </si>
  <si>
    <t>Pago prima de segros</t>
  </si>
  <si>
    <t>Pago mantenimiento</t>
  </si>
  <si>
    <t>Prestamo largo</t>
  </si>
  <si>
    <t>Credito corto</t>
  </si>
  <si>
    <t>Cobro Inmovilizado Material</t>
  </si>
  <si>
    <t>Cobro Inmovilizado Finan</t>
  </si>
  <si>
    <t>Pagos Inmovilizado Mat</t>
  </si>
  <si>
    <t>Pagos Inmovilizado finan</t>
  </si>
  <si>
    <t>Aplazamiento de pago+</t>
  </si>
  <si>
    <t>Coste prod: Mat.Pr</t>
  </si>
  <si>
    <t>Coste prod: otros costes</t>
  </si>
  <si>
    <t>Coste de comercialización</t>
  </si>
  <si>
    <t>Otros ingresos</t>
  </si>
  <si>
    <t>Prima de seguros</t>
  </si>
  <si>
    <t>Mantenimiento</t>
  </si>
  <si>
    <t>Tributos</t>
  </si>
  <si>
    <t>Pago costes comercialización</t>
  </si>
  <si>
    <t>Cobro ingresos financieros</t>
  </si>
  <si>
    <t>Ingreso financieros</t>
  </si>
  <si>
    <t>ENERO</t>
  </si>
  <si>
    <t>FEBR</t>
  </si>
  <si>
    <t>MAR</t>
  </si>
  <si>
    <t>ABRIL</t>
  </si>
  <si>
    <t>MAYO</t>
  </si>
  <si>
    <t>JUNIO</t>
  </si>
  <si>
    <t>JULIO</t>
  </si>
  <si>
    <t>AGOS</t>
  </si>
  <si>
    <t>SEPT</t>
  </si>
  <si>
    <t>OCT</t>
  </si>
  <si>
    <t>NOV</t>
  </si>
  <si>
    <t>DIC</t>
  </si>
  <si>
    <t>Descuento 3 meses</t>
  </si>
  <si>
    <t>Descuento 2 meses</t>
  </si>
  <si>
    <t>Descuento 1 meses</t>
  </si>
  <si>
    <t xml:space="preserve">ANTICIPO 3 meses </t>
  </si>
  <si>
    <t xml:space="preserve">ANTICIPO 2 meses </t>
  </si>
  <si>
    <t xml:space="preserve">ANTICIPO 1 meses </t>
  </si>
  <si>
    <t>TOTAL COBRO</t>
  </si>
  <si>
    <t>Interes descuento de efectos</t>
  </si>
  <si>
    <t>Pago Inmovilizado (sin IVA)</t>
  </si>
  <si>
    <t>Porcentaje al contado</t>
  </si>
  <si>
    <t>COBRO 3 meses</t>
  </si>
  <si>
    <t>COBRO 2 meses</t>
  </si>
  <si>
    <t>COBRO contado</t>
  </si>
  <si>
    <t>COBRO 1 meses</t>
  </si>
  <si>
    <t>Amort descuento 3 meses</t>
  </si>
  <si>
    <t>Amort descuento 2 meses</t>
  </si>
  <si>
    <t>Amort descuento 1 meses</t>
  </si>
  <si>
    <t>Total descuento</t>
  </si>
  <si>
    <t>Total amortización</t>
  </si>
  <si>
    <t>Total cobrado</t>
  </si>
  <si>
    <t>Comp MP Plazos pago</t>
  </si>
  <si>
    <t>Exist. Inic. PT  meses</t>
  </si>
  <si>
    <t>Exist. Inic. MP  meses</t>
  </si>
  <si>
    <t>Porcentaje 1 mes</t>
  </si>
  <si>
    <t>Porcentaje 2 meses</t>
  </si>
  <si>
    <t>Porcentaje 3 meses</t>
  </si>
  <si>
    <t>Acreedores en meses</t>
  </si>
  <si>
    <t>Límite</t>
  </si>
  <si>
    <t>Com. Disponibilidad</t>
  </si>
  <si>
    <t>PRÉSTAMO</t>
  </si>
  <si>
    <t>Pagos por interes</t>
  </si>
  <si>
    <t>Crédito a muy c/p</t>
  </si>
  <si>
    <t>Reembolso</t>
  </si>
  <si>
    <t>Crédito pendiente</t>
  </si>
  <si>
    <t>INVERSIÓN EXCEDENTE</t>
  </si>
  <si>
    <t>Inversion excedente</t>
  </si>
  <si>
    <t>Cobros financieros</t>
  </si>
  <si>
    <t>Desinversión. Excedente</t>
  </si>
  <si>
    <t>Inversión acumulada</t>
  </si>
  <si>
    <t>PÓLIZA DE CRÉDITO</t>
  </si>
  <si>
    <t>Interés deudor</t>
  </si>
  <si>
    <t xml:space="preserve">Porcentaje </t>
  </si>
  <si>
    <t>Porcentaje</t>
  </si>
  <si>
    <t>A. 1.</t>
  </si>
  <si>
    <t>+Existencias</t>
  </si>
  <si>
    <t>+Clientes</t>
  </si>
  <si>
    <t>NBFC</t>
  </si>
  <si>
    <t>Proveedores</t>
  </si>
  <si>
    <t>NFREx</t>
  </si>
  <si>
    <t>+Variación créditos concedidos C/P</t>
  </si>
  <si>
    <t>Hacienda Pública Deudor:IVA</t>
  </si>
  <si>
    <t>+Variación créditos Obtenidos C/P</t>
  </si>
  <si>
    <t>Deudas bancarias a C/P</t>
  </si>
  <si>
    <t>Otros pasivos corrientes ( (HP, SS…))</t>
  </si>
  <si>
    <t>NFR</t>
  </si>
  <si>
    <t>Tesoreria</t>
  </si>
  <si>
    <t>FR</t>
  </si>
  <si>
    <t>A. B</t>
  </si>
  <si>
    <t>Pago 3 meses</t>
  </si>
  <si>
    <t>Pago contado</t>
  </si>
  <si>
    <t>Pago 2 meses</t>
  </si>
  <si>
    <t>Pago 1 meses</t>
  </si>
  <si>
    <t>T/i prést.</t>
  </si>
  <si>
    <t>Nom. Máx</t>
  </si>
  <si>
    <t>T/I  póliza</t>
  </si>
  <si>
    <t>Com. Disp</t>
  </si>
  <si>
    <t>Prestamo</t>
  </si>
  <si>
    <t>Póliza de Crédito</t>
  </si>
  <si>
    <t>Descuento de efectos</t>
  </si>
  <si>
    <t xml:space="preserve">Coste </t>
  </si>
  <si>
    <t>Inversión</t>
  </si>
  <si>
    <t xml:space="preserve">T/I </t>
  </si>
  <si>
    <t>CUENTA RDOS</t>
  </si>
  <si>
    <t>GASTOS PERSONAL</t>
  </si>
  <si>
    <t>SEG SOCIAL EMPRESA</t>
  </si>
  <si>
    <t>CUENTA TESORERÍA</t>
  </si>
  <si>
    <t>PAGO SUELDOS Y SALARIOS</t>
  </si>
  <si>
    <t>DEUDA SEG. S, EMP. Y TRAB.</t>
  </si>
  <si>
    <t>PAGO SEG. S, EMP. Y TRAB.</t>
  </si>
  <si>
    <t xml:space="preserve">DEUDA RETENCION </t>
  </si>
  <si>
    <t>DEUDA RETENCION ACUMULADA</t>
  </si>
  <si>
    <t>PAGO RETENCIOS IRPF</t>
  </si>
  <si>
    <t>DATOS REGIMEN GENERAL</t>
  </si>
  <si>
    <t>% de paga</t>
  </si>
  <si>
    <t>Mes de pago</t>
  </si>
  <si>
    <t>PAGA EXTRA 1</t>
  </si>
  <si>
    <t>PAGA EXTRA 2</t>
  </si>
  <si>
    <t>PAGA EXTRA 3</t>
  </si>
  <si>
    <t>TIPO CC TRABAJADOR</t>
  </si>
  <si>
    <t>TIPO CC EMPRESA</t>
  </si>
  <si>
    <t>MÍNIMO COTIZACIÓN</t>
  </si>
  <si>
    <t>MAXIMO COTIZACIÓN</t>
  </si>
  <si>
    <t>MES COMIENZO PAGO</t>
  </si>
  <si>
    <t>TRABAJADOR</t>
  </si>
  <si>
    <t>Salario mensual</t>
  </si>
  <si>
    <t>Nº Trabaj</t>
  </si>
  <si>
    <t>GRUPO TRABAJ. 1</t>
  </si>
  <si>
    <t>GRUPO TRABAJ. 2</t>
  </si>
  <si>
    <t>GRUPO TRABAJ. 3</t>
  </si>
  <si>
    <t>GRUPO TRABAJ. 4</t>
  </si>
  <si>
    <t>GRUPO TRABAJ. 5</t>
  </si>
  <si>
    <t>Sueldo base total</t>
  </si>
  <si>
    <t>Tipo Ret</t>
  </si>
  <si>
    <t>SS Empresa</t>
  </si>
  <si>
    <t>Gasto total empresa</t>
  </si>
  <si>
    <t>Nº Trabajadores</t>
  </si>
  <si>
    <t>Retención IRPF mensual</t>
  </si>
  <si>
    <t>S. NETO (mensual)</t>
  </si>
  <si>
    <t>G. TRABAJ.  1</t>
  </si>
  <si>
    <t>G. TRABAJ.  2</t>
  </si>
  <si>
    <t>G. TRABAJ.  3</t>
  </si>
  <si>
    <t>G. TRABAJ. 4</t>
  </si>
  <si>
    <t>G. TRABAJ.  5</t>
  </si>
  <si>
    <t>TOTAL ANUAL</t>
  </si>
  <si>
    <t>NUEVO TRABAJADOR</t>
  </si>
  <si>
    <t>Salario anual</t>
  </si>
  <si>
    <t>Mes contrato</t>
  </si>
  <si>
    <t>Sueldo base</t>
  </si>
  <si>
    <t>S. BRUTO MENSUAL</t>
  </si>
  <si>
    <t xml:space="preserve">SS mensual trabajador </t>
  </si>
  <si>
    <t>NUEVO TRABAJADOR 1</t>
  </si>
  <si>
    <t>NUEVO TRABAJADOR 2</t>
  </si>
  <si>
    <t>NUEVO TRABAJADOR 3</t>
  </si>
  <si>
    <t>DATOS AUTONOMOS</t>
  </si>
  <si>
    <t>TIPO COT. CON IT</t>
  </si>
  <si>
    <t>TIPO COT. SIN IT</t>
  </si>
  <si>
    <t>Salario y Compl, trab</t>
  </si>
  <si>
    <t xml:space="preserve">Salario mensual </t>
  </si>
  <si>
    <t>Base cotiz. Mensual Trabajador</t>
  </si>
  <si>
    <t>SI IT -   NO IT</t>
  </si>
  <si>
    <t>COT</t>
  </si>
  <si>
    <t>CUOTA SS mensual</t>
  </si>
  <si>
    <t>NO</t>
  </si>
  <si>
    <t>TABLA DE RETENCIONES EN VIGOR</t>
  </si>
  <si>
    <t>IMPORTE</t>
  </si>
  <si>
    <t>NUMERO DE HIJOS Y OTROS DESCENDIENTES</t>
  </si>
  <si>
    <t>REND. ANUAL EUROS</t>
  </si>
  <si>
    <t>6 o mas</t>
  </si>
  <si>
    <t xml:space="preserve">S. BRUTO mensual calculo SS </t>
  </si>
  <si>
    <t xml:space="preserve">S. BRUTO pago </t>
  </si>
  <si>
    <t>CARGAS SOCIALES</t>
  </si>
  <si>
    <t>SS mensual trabaj,</t>
  </si>
  <si>
    <t>S. NETO  (p. extra)</t>
  </si>
  <si>
    <t>GASTOS DE PÈRSONAL</t>
  </si>
  <si>
    <t>DEVOLUCIÓN FINANCIACIÓN</t>
  </si>
  <si>
    <t>DEUDA BANCARIA LARGO PLAZO A</t>
  </si>
  <si>
    <t>IMPORTE PAGADO</t>
  </si>
  <si>
    <t xml:space="preserve">INTERESES </t>
  </si>
  <si>
    <t>CUOTA DE AMORTIZACIÓN</t>
  </si>
  <si>
    <t>DEUDA BANCARIA LARGO PLAZO B</t>
  </si>
  <si>
    <t>DEUDA BANCARIA CORTO PLAZO</t>
  </si>
  <si>
    <t xml:space="preserve">CAPITAL VIVO </t>
  </si>
  <si>
    <t>NUMERO AÑOS PENDIENTES AMORTIZACIÓN</t>
  </si>
  <si>
    <t>PAGOS AL AÑO</t>
  </si>
  <si>
    <t>1</t>
  </si>
  <si>
    <t>MES DEL PRIMER PAGO</t>
  </si>
  <si>
    <t xml:space="preserve">PAGO </t>
  </si>
  <si>
    <t>const</t>
  </si>
  <si>
    <t>TIPO DE INTERÉS ANUAL</t>
  </si>
  <si>
    <t>CAPITAL VIVO AÑO 2</t>
  </si>
  <si>
    <t>COMPROBACIÓN DATOS</t>
  </si>
  <si>
    <t>NUMERO DE PAGOS PENDIENTES</t>
  </si>
  <si>
    <t>PRESTAMO A CORTO POR DEUDAS A LARGO</t>
  </si>
  <si>
    <t>Diferencia IVAR-IVAS</t>
  </si>
  <si>
    <t>IVA Pendiente</t>
  </si>
  <si>
    <t>IVA pagado</t>
  </si>
  <si>
    <t>IVA a Devolver</t>
  </si>
</sst>
</file>

<file path=xl/styles.xml><?xml version="1.0" encoding="utf-8"?>
<styleSheet xmlns="http://schemas.openxmlformats.org/spreadsheetml/2006/main">
  <numFmts count="4">
    <numFmt numFmtId="164" formatCode="#,##0.0"/>
    <numFmt numFmtId="165" formatCode="0.0%"/>
    <numFmt numFmtId="166" formatCode="_-* #,##0_P_t_s_-;\-* #,##0_P_t_s_-;_-* &quot;-&quot;_P_t_s_-;_-@_-"/>
    <numFmt numFmtId="167" formatCode="#,##0.000000000"/>
  </numFmts>
  <fonts count="9">
    <font>
      <sz val="10"/>
      <name val="Arial"/>
    </font>
    <font>
      <sz val="8"/>
      <name val="Arial"/>
      <family val="2"/>
    </font>
    <font>
      <b/>
      <sz val="10"/>
      <name val="Arial"/>
      <family val="2"/>
    </font>
    <font>
      <sz val="10"/>
      <name val="Arial"/>
      <family val="2"/>
    </font>
    <font>
      <b/>
      <sz val="20"/>
      <color rgb="FF000000"/>
      <name val="Calibri"/>
      <family val="2"/>
    </font>
    <font>
      <sz val="10"/>
      <name val="Arial"/>
      <family val="2"/>
    </font>
    <font>
      <b/>
      <sz val="8"/>
      <name val="Arial"/>
      <family val="2"/>
    </font>
    <font>
      <sz val="10"/>
      <name val="Geneva"/>
    </font>
    <font>
      <b/>
      <sz val="10"/>
      <color indexed="9"/>
      <name val="Arial"/>
      <family val="2"/>
    </font>
  </fonts>
  <fills count="13">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indexed="47"/>
        <bgColor indexed="64"/>
      </patternFill>
    </fill>
    <fill>
      <patternFill patternType="solid">
        <fgColor indexed="40"/>
        <bgColor indexed="64"/>
      </patternFill>
    </fill>
    <fill>
      <patternFill patternType="solid">
        <fgColor indexed="9"/>
        <bgColor indexed="64"/>
      </patternFill>
    </fill>
    <fill>
      <patternFill patternType="solid">
        <fgColor rgb="FFCCFFCC"/>
        <bgColor indexed="64"/>
      </patternFill>
    </fill>
    <fill>
      <patternFill patternType="solid">
        <fgColor indexed="22"/>
        <bgColor indexed="64"/>
      </patternFill>
    </fill>
    <fill>
      <patternFill patternType="solid">
        <fgColor rgb="FFFFC000"/>
        <bgColor indexed="64"/>
      </patternFill>
    </fill>
  </fills>
  <borders count="54">
    <border>
      <left/>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7">
    <xf numFmtId="0" fontId="0" fillId="0" borderId="0"/>
    <xf numFmtId="9" fontId="5" fillId="0" borderId="0" applyFont="0" applyFill="0" applyBorder="0" applyAlignment="0" applyProtection="0"/>
    <xf numFmtId="0" fontId="7" fillId="0" borderId="0"/>
    <xf numFmtId="166" fontId="7" fillId="0" borderId="0" applyFont="0" applyFill="0" applyBorder="0" applyAlignment="0" applyProtection="0"/>
    <xf numFmtId="9" fontId="7" fillId="0" borderId="0" applyFont="0" applyFill="0" applyBorder="0" applyAlignment="0" applyProtection="0"/>
    <xf numFmtId="0" fontId="3" fillId="0" borderId="0"/>
    <xf numFmtId="9" fontId="3" fillId="0" borderId="0" applyFont="0" applyFill="0" applyBorder="0" applyAlignment="0" applyProtection="0"/>
  </cellStyleXfs>
  <cellXfs count="366">
    <xf numFmtId="0" fontId="0" fillId="0" borderId="0" xfId="0"/>
    <xf numFmtId="3" fontId="2" fillId="0" borderId="1" xfId="0" applyNumberFormat="1" applyFont="1" applyBorder="1"/>
    <xf numFmtId="0" fontId="2" fillId="0" borderId="0" xfId="0" applyFont="1"/>
    <xf numFmtId="3" fontId="2" fillId="0" borderId="0" xfId="0" applyNumberFormat="1" applyFont="1" applyBorder="1"/>
    <xf numFmtId="3" fontId="2" fillId="0" borderId="0" xfId="0" applyNumberFormat="1" applyFont="1"/>
    <xf numFmtId="3" fontId="2" fillId="0" borderId="0" xfId="0" applyNumberFormat="1" applyFont="1" applyFill="1" applyBorder="1"/>
    <xf numFmtId="3" fontId="2" fillId="0" borderId="0" xfId="0" applyNumberFormat="1" applyFont="1" applyBorder="1" applyAlignment="1">
      <alignment horizontal="center"/>
    </xf>
    <xf numFmtId="3" fontId="2" fillId="0" borderId="4" xfId="0" applyNumberFormat="1" applyFont="1" applyBorder="1"/>
    <xf numFmtId="3" fontId="2" fillId="0" borderId="6" xfId="0" applyNumberFormat="1" applyFont="1" applyBorder="1"/>
    <xf numFmtId="3" fontId="2" fillId="0" borderId="7" xfId="0" applyNumberFormat="1" applyFont="1" applyBorder="1"/>
    <xf numFmtId="3" fontId="2" fillId="0" borderId="0" xfId="0" applyNumberFormat="1" applyFont="1" applyBorder="1" applyAlignment="1">
      <alignment horizontal="right"/>
    </xf>
    <xf numFmtId="3" fontId="2" fillId="0" borderId="8" xfId="0" applyNumberFormat="1" applyFont="1" applyBorder="1"/>
    <xf numFmtId="3" fontId="2" fillId="0" borderId="0" xfId="0" applyNumberFormat="1" applyFont="1" applyFill="1"/>
    <xf numFmtId="3" fontId="2" fillId="0" borderId="9" xfId="0" applyNumberFormat="1" applyFont="1" applyBorder="1"/>
    <xf numFmtId="3" fontId="2" fillId="0" borderId="10" xfId="0" applyNumberFormat="1" applyFont="1" applyBorder="1"/>
    <xf numFmtId="3" fontId="2" fillId="0" borderId="11" xfId="0" applyNumberFormat="1" applyFont="1" applyBorder="1"/>
    <xf numFmtId="3" fontId="2" fillId="0" borderId="12" xfId="0" applyNumberFormat="1" applyFont="1" applyBorder="1"/>
    <xf numFmtId="3" fontId="2" fillId="0" borderId="13" xfId="0" applyNumberFormat="1" applyFont="1" applyBorder="1"/>
    <xf numFmtId="3" fontId="2" fillId="0" borderId="1" xfId="0" applyNumberFormat="1" applyFont="1" applyFill="1" applyBorder="1"/>
    <xf numFmtId="3" fontId="3" fillId="0" borderId="5" xfId="0" applyNumberFormat="1" applyFont="1" applyFill="1" applyBorder="1"/>
    <xf numFmtId="3" fontId="3" fillId="0" borderId="3" xfId="0" applyNumberFormat="1" applyFont="1" applyFill="1" applyBorder="1"/>
    <xf numFmtId="3" fontId="3" fillId="0" borderId="2" xfId="0" applyNumberFormat="1" applyFont="1" applyFill="1" applyBorder="1"/>
    <xf numFmtId="3" fontId="2" fillId="0" borderId="5" xfId="0" applyNumberFormat="1" applyFont="1" applyBorder="1"/>
    <xf numFmtId="3" fontId="2" fillId="0" borderId="14" xfId="0" applyNumberFormat="1" applyFont="1" applyBorder="1"/>
    <xf numFmtId="0" fontId="2" fillId="0" borderId="17" xfId="0" applyFont="1" applyBorder="1"/>
    <xf numFmtId="0" fontId="2" fillId="0" borderId="0" xfId="0" applyFont="1" applyBorder="1"/>
    <xf numFmtId="3" fontId="2" fillId="0" borderId="22" xfId="0" applyNumberFormat="1" applyFont="1" applyBorder="1"/>
    <xf numFmtId="3" fontId="2" fillId="0" borderId="24" xfId="0" applyNumberFormat="1" applyFont="1" applyBorder="1"/>
    <xf numFmtId="3" fontId="2" fillId="0" borderId="25" xfId="0" applyNumberFormat="1" applyFont="1" applyBorder="1"/>
    <xf numFmtId="3" fontId="2" fillId="3" borderId="21" xfId="0" applyNumberFormat="1" applyFont="1" applyFill="1" applyBorder="1" applyAlignment="1">
      <alignment horizontal="center"/>
    </xf>
    <xf numFmtId="3" fontId="2" fillId="3" borderId="16" xfId="0" applyNumberFormat="1" applyFont="1" applyFill="1" applyBorder="1" applyAlignment="1">
      <alignment horizontal="center"/>
    </xf>
    <xf numFmtId="3" fontId="2" fillId="3" borderId="18" xfId="0" applyNumberFormat="1" applyFont="1" applyFill="1" applyBorder="1" applyAlignment="1">
      <alignment horizontal="left"/>
    </xf>
    <xf numFmtId="3" fontId="2" fillId="3" borderId="18" xfId="0" applyNumberFormat="1" applyFont="1" applyFill="1" applyBorder="1" applyAlignment="1">
      <alignment horizontal="center"/>
    </xf>
    <xf numFmtId="3" fontId="2" fillId="3" borderId="15" xfId="0" applyNumberFormat="1" applyFont="1" applyFill="1" applyBorder="1"/>
    <xf numFmtId="3" fontId="2" fillId="4" borderId="17" xfId="0" applyNumberFormat="1" applyFont="1" applyFill="1" applyBorder="1" applyAlignment="1">
      <alignment horizontal="center"/>
    </xf>
    <xf numFmtId="3" fontId="2" fillId="4" borderId="15" xfId="0" applyNumberFormat="1" applyFont="1" applyFill="1" applyBorder="1"/>
    <xf numFmtId="3" fontId="2" fillId="4" borderId="19" xfId="0" applyNumberFormat="1" applyFont="1" applyFill="1" applyBorder="1"/>
    <xf numFmtId="3" fontId="2" fillId="4" borderId="16" xfId="0" applyNumberFormat="1" applyFont="1" applyFill="1" applyBorder="1"/>
    <xf numFmtId="3" fontId="2" fillId="4" borderId="18" xfId="0" applyNumberFormat="1" applyFont="1" applyFill="1" applyBorder="1" applyAlignment="1">
      <alignment horizontal="right"/>
    </xf>
    <xf numFmtId="3" fontId="2" fillId="4" borderId="27" xfId="0" applyNumberFormat="1" applyFont="1" applyFill="1" applyBorder="1" applyAlignment="1">
      <alignment horizontal="center"/>
    </xf>
    <xf numFmtId="3" fontId="2" fillId="5" borderId="16" xfId="0" applyNumberFormat="1" applyFont="1" applyFill="1" applyBorder="1"/>
    <xf numFmtId="3" fontId="2" fillId="5" borderId="17" xfId="0" applyNumberFormat="1" applyFont="1" applyFill="1" applyBorder="1"/>
    <xf numFmtId="3" fontId="2" fillId="5" borderId="18" xfId="0" applyNumberFormat="1" applyFont="1" applyFill="1" applyBorder="1"/>
    <xf numFmtId="3" fontId="2" fillId="5" borderId="20" xfId="0" applyNumberFormat="1" applyFont="1" applyFill="1" applyBorder="1"/>
    <xf numFmtId="3" fontId="2" fillId="6" borderId="18" xfId="0" applyNumberFormat="1" applyFont="1" applyFill="1" applyBorder="1" applyAlignment="1">
      <alignment horizontal="left"/>
    </xf>
    <xf numFmtId="3" fontId="2" fillId="6" borderId="19" xfId="0" applyNumberFormat="1" applyFont="1" applyFill="1" applyBorder="1" applyAlignment="1">
      <alignment horizontal="right"/>
    </xf>
    <xf numFmtId="0" fontId="4" fillId="0" borderId="0" xfId="0" applyFont="1"/>
    <xf numFmtId="3" fontId="2" fillId="0" borderId="26" xfId="0" applyNumberFormat="1" applyFont="1" applyBorder="1"/>
    <xf numFmtId="3" fontId="2" fillId="0" borderId="23" xfId="0" applyNumberFormat="1" applyFont="1" applyBorder="1"/>
    <xf numFmtId="0" fontId="6" fillId="7" borderId="5" xfId="0" applyFont="1" applyFill="1" applyBorder="1" applyAlignment="1" applyProtection="1">
      <alignment horizontal="center"/>
    </xf>
    <xf numFmtId="0" fontId="6" fillId="0" borderId="2" xfId="0" applyFont="1" applyFill="1" applyBorder="1" applyAlignment="1" applyProtection="1">
      <alignment horizontal="left"/>
    </xf>
    <xf numFmtId="1" fontId="6" fillId="0" borderId="2" xfId="0" applyNumberFormat="1" applyFont="1" applyFill="1" applyBorder="1" applyAlignment="1" applyProtection="1">
      <alignment horizontal="left"/>
    </xf>
    <xf numFmtId="0" fontId="6" fillId="0" borderId="3" xfId="0" applyFont="1" applyFill="1" applyBorder="1" applyAlignment="1" applyProtection="1">
      <alignment horizontal="left"/>
    </xf>
    <xf numFmtId="0" fontId="6" fillId="0" borderId="3" xfId="0" applyFont="1" applyFill="1" applyBorder="1" applyAlignment="1" applyProtection="1">
      <alignment horizontal="right"/>
    </xf>
    <xf numFmtId="0" fontId="6" fillId="0" borderId="0" xfId="0" applyFont="1" applyFill="1"/>
    <xf numFmtId="3" fontId="6" fillId="0" borderId="5" xfId="0" applyNumberFormat="1" applyFont="1" applyFill="1" applyBorder="1" applyAlignment="1" applyProtection="1">
      <alignment horizontal="left"/>
    </xf>
    <xf numFmtId="3" fontId="6" fillId="0" borderId="2" xfId="0" applyNumberFormat="1" applyFont="1" applyFill="1" applyBorder="1" applyAlignment="1" applyProtection="1">
      <alignment horizontal="left"/>
    </xf>
    <xf numFmtId="0" fontId="6" fillId="0" borderId="32" xfId="0" applyFont="1" applyFill="1" applyBorder="1" applyAlignment="1" applyProtection="1">
      <alignment horizontal="right"/>
    </xf>
    <xf numFmtId="0" fontId="2" fillId="0" borderId="21" xfId="0" applyFont="1" applyFill="1" applyBorder="1" applyAlignment="1" applyProtection="1">
      <alignment horizontal="left"/>
    </xf>
    <xf numFmtId="0" fontId="2" fillId="0" borderId="15" xfId="0" applyFont="1" applyFill="1" applyBorder="1" applyAlignment="1" applyProtection="1">
      <alignment horizontal="left"/>
    </xf>
    <xf numFmtId="0" fontId="2" fillId="0" borderId="16" xfId="0" applyFont="1" applyFill="1" applyBorder="1" applyAlignment="1" applyProtection="1">
      <alignment horizontal="left"/>
    </xf>
    <xf numFmtId="0" fontId="2" fillId="0" borderId="33" xfId="0" applyFont="1" applyFill="1" applyBorder="1" applyAlignment="1" applyProtection="1">
      <alignment horizontal="left"/>
    </xf>
    <xf numFmtId="0" fontId="2" fillId="0" borderId="34" xfId="0" applyFont="1" applyFill="1" applyBorder="1" applyAlignment="1" applyProtection="1">
      <alignment horizontal="left"/>
    </xf>
    <xf numFmtId="3" fontId="6" fillId="0" borderId="17" xfId="0" applyNumberFormat="1" applyFont="1" applyFill="1" applyBorder="1" applyAlignment="1" applyProtection="1">
      <alignment horizontal="right"/>
    </xf>
    <xf numFmtId="3" fontId="6" fillId="0" borderId="15" xfId="0" applyNumberFormat="1" applyFont="1" applyFill="1" applyBorder="1" applyAlignment="1" applyProtection="1">
      <alignment horizontal="right"/>
    </xf>
    <xf numFmtId="3" fontId="4" fillId="0" borderId="0" xfId="0" applyNumberFormat="1" applyFont="1"/>
    <xf numFmtId="164" fontId="2" fillId="0" borderId="0" xfId="0" applyNumberFormat="1" applyFont="1"/>
    <xf numFmtId="3" fontId="6" fillId="0" borderId="5" xfId="0" applyNumberFormat="1" applyFont="1" applyFill="1" applyBorder="1" applyAlignment="1" applyProtection="1">
      <alignment horizontal="right"/>
    </xf>
    <xf numFmtId="3" fontId="6" fillId="0" borderId="2" xfId="0" applyNumberFormat="1" applyFont="1" applyFill="1" applyBorder="1" applyAlignment="1" applyProtection="1">
      <alignment horizontal="right"/>
    </xf>
    <xf numFmtId="3" fontId="6" fillId="7" borderId="5" xfId="0" applyNumberFormat="1" applyFont="1" applyFill="1" applyBorder="1" applyAlignment="1" applyProtection="1">
      <alignment horizontal="right"/>
    </xf>
    <xf numFmtId="3" fontId="6" fillId="0" borderId="3" xfId="0" applyNumberFormat="1" applyFont="1" applyFill="1" applyBorder="1" applyAlignment="1" applyProtection="1">
      <alignment horizontal="right"/>
    </xf>
    <xf numFmtId="3" fontId="6" fillId="0" borderId="0" xfId="0" applyNumberFormat="1" applyFont="1" applyFill="1" applyAlignment="1">
      <alignment horizontal="right"/>
    </xf>
    <xf numFmtId="3" fontId="6" fillId="0" borderId="32" xfId="0" applyNumberFormat="1" applyFont="1" applyFill="1" applyBorder="1" applyAlignment="1" applyProtection="1">
      <alignment horizontal="right"/>
    </xf>
    <xf numFmtId="0" fontId="0" fillId="0" borderId="0" xfId="0" applyBorder="1"/>
    <xf numFmtId="0" fontId="2" fillId="0" borderId="17" xfId="0" applyFont="1" applyFill="1" applyBorder="1" applyAlignment="1" applyProtection="1">
      <alignment horizontal="left"/>
    </xf>
    <xf numFmtId="3" fontId="2" fillId="0" borderId="35" xfId="0" applyNumberFormat="1" applyFont="1" applyFill="1" applyBorder="1" applyAlignment="1" applyProtection="1">
      <alignment horizontal="center"/>
    </xf>
    <xf numFmtId="3" fontId="2" fillId="0" borderId="6" xfId="0" applyNumberFormat="1" applyFont="1" applyFill="1" applyBorder="1" applyAlignment="1" applyProtection="1">
      <alignment horizontal="center"/>
    </xf>
    <xf numFmtId="3" fontId="2" fillId="0" borderId="7" xfId="0" applyNumberFormat="1" applyFont="1" applyFill="1" applyBorder="1" applyAlignment="1" applyProtection="1">
      <alignment horizontal="center"/>
    </xf>
    <xf numFmtId="0" fontId="2" fillId="0" borderId="20" xfId="0" applyFont="1" applyFill="1" applyBorder="1" applyAlignment="1" applyProtection="1">
      <alignment horizontal="left"/>
    </xf>
    <xf numFmtId="9" fontId="2" fillId="8" borderId="3" xfId="0" applyNumberFormat="1" applyFont="1" applyFill="1" applyBorder="1" applyAlignment="1">
      <alignment horizontal="center" vertical="center" wrapText="1"/>
    </xf>
    <xf numFmtId="9" fontId="2" fillId="8" borderId="12" xfId="0" applyNumberFormat="1" applyFont="1" applyFill="1" applyBorder="1" applyAlignment="1">
      <alignment horizontal="center" vertical="center" wrapText="1"/>
    </xf>
    <xf numFmtId="9" fontId="2" fillId="8" borderId="13" xfId="0" applyNumberFormat="1" applyFont="1" applyFill="1" applyBorder="1" applyAlignment="1">
      <alignment horizontal="center" vertical="center" wrapText="1"/>
    </xf>
    <xf numFmtId="3" fontId="2" fillId="9" borderId="28" xfId="0" applyNumberFormat="1" applyFont="1" applyFill="1" applyBorder="1" applyAlignment="1">
      <alignment horizontal="right"/>
    </xf>
    <xf numFmtId="3" fontId="2" fillId="0" borderId="20" xfId="0" applyNumberFormat="1" applyFont="1" applyFill="1" applyBorder="1"/>
    <xf numFmtId="164" fontId="2" fillId="0" borderId="12" xfId="0" applyNumberFormat="1" applyFont="1" applyFill="1" applyBorder="1" applyAlignment="1">
      <alignment horizontal="right"/>
    </xf>
    <xf numFmtId="4" fontId="2" fillId="0" borderId="21" xfId="0" applyNumberFormat="1" applyFont="1" applyFill="1" applyBorder="1" applyAlignment="1" applyProtection="1">
      <alignment horizontal="right"/>
    </xf>
    <xf numFmtId="4" fontId="2" fillId="0" borderId="15" xfId="0" applyNumberFormat="1" applyFont="1" applyFill="1" applyBorder="1" applyAlignment="1" applyProtection="1">
      <alignment horizontal="right"/>
    </xf>
    <xf numFmtId="4" fontId="2" fillId="0" borderId="16" xfId="0" applyNumberFormat="1" applyFont="1" applyFill="1" applyBorder="1" applyAlignment="1" applyProtection="1">
      <alignment horizontal="right"/>
    </xf>
    <xf numFmtId="4" fontId="2" fillId="0" borderId="33" xfId="0" applyNumberFormat="1" applyFont="1" applyFill="1" applyBorder="1" applyAlignment="1" applyProtection="1">
      <alignment horizontal="right"/>
    </xf>
    <xf numFmtId="4" fontId="2" fillId="0" borderId="34" xfId="0" applyNumberFormat="1" applyFont="1" applyFill="1" applyBorder="1" applyAlignment="1" applyProtection="1">
      <alignment horizontal="right"/>
    </xf>
    <xf numFmtId="3" fontId="2" fillId="0" borderId="28" xfId="0" applyNumberFormat="1" applyFont="1" applyBorder="1"/>
    <xf numFmtId="3" fontId="2" fillId="2" borderId="28" xfId="0" applyNumberFormat="1" applyFont="1" applyFill="1" applyBorder="1"/>
    <xf numFmtId="0" fontId="2" fillId="0" borderId="28" xfId="0" applyFont="1" applyFill="1" applyBorder="1" applyAlignment="1" applyProtection="1">
      <alignment horizontal="left"/>
    </xf>
    <xf numFmtId="3" fontId="2" fillId="0" borderId="2" xfId="0" applyNumberFormat="1" applyFont="1" applyBorder="1"/>
    <xf numFmtId="3" fontId="2" fillId="9" borderId="0" xfId="0" applyNumberFormat="1" applyFont="1" applyFill="1" applyBorder="1" applyAlignment="1">
      <alignment horizontal="right"/>
    </xf>
    <xf numFmtId="0" fontId="0" fillId="0" borderId="28" xfId="0" applyBorder="1"/>
    <xf numFmtId="3" fontId="2" fillId="0" borderId="32" xfId="0" applyNumberFormat="1" applyFont="1" applyBorder="1"/>
    <xf numFmtId="3" fontId="3" fillId="2" borderId="36" xfId="0" applyNumberFormat="1" applyFont="1" applyFill="1" applyBorder="1"/>
    <xf numFmtId="3" fontId="2" fillId="0" borderId="35" xfId="0" applyNumberFormat="1" applyFont="1" applyBorder="1"/>
    <xf numFmtId="3" fontId="2" fillId="0" borderId="3" xfId="0" applyNumberFormat="1" applyFont="1" applyBorder="1"/>
    <xf numFmtId="9" fontId="2" fillId="2" borderId="29" xfId="0" applyNumberFormat="1" applyFont="1" applyFill="1" applyBorder="1"/>
    <xf numFmtId="9" fontId="2" fillId="2" borderId="30" xfId="0" applyNumberFormat="1" applyFont="1" applyFill="1" applyBorder="1"/>
    <xf numFmtId="3" fontId="6" fillId="0" borderId="0" xfId="0" applyNumberFormat="1" applyFont="1" applyAlignment="1">
      <alignment horizontal="center"/>
    </xf>
    <xf numFmtId="3" fontId="6" fillId="0" borderId="0" xfId="0" applyNumberFormat="1" applyFont="1"/>
    <xf numFmtId="0" fontId="1" fillId="0" borderId="0" xfId="0" applyFont="1"/>
    <xf numFmtId="0" fontId="6" fillId="7" borderId="17" xfId="0" applyFont="1" applyFill="1" applyBorder="1" applyAlignment="1" applyProtection="1">
      <alignment horizontal="right"/>
    </xf>
    <xf numFmtId="0" fontId="1" fillId="0" borderId="15" xfId="0" applyFont="1" applyBorder="1"/>
    <xf numFmtId="0" fontId="1" fillId="0" borderId="20" xfId="0" applyFont="1" applyBorder="1"/>
    <xf numFmtId="0" fontId="6" fillId="0" borderId="20" xfId="0" applyFont="1" applyFill="1" applyBorder="1" applyAlignment="1" applyProtection="1">
      <alignment horizontal="right"/>
    </xf>
    <xf numFmtId="0" fontId="6" fillId="0" borderId="0" xfId="0" applyFont="1" applyFill="1" applyAlignment="1">
      <alignment horizontal="right"/>
    </xf>
    <xf numFmtId="0" fontId="6" fillId="7" borderId="31" xfId="0" applyFont="1" applyFill="1" applyBorder="1" applyAlignment="1" applyProtection="1">
      <alignment horizontal="center"/>
    </xf>
    <xf numFmtId="4" fontId="1" fillId="0" borderId="0" xfId="0" applyNumberFormat="1" applyFont="1"/>
    <xf numFmtId="3" fontId="2" fillId="0" borderId="36" xfId="0" applyNumberFormat="1" applyFont="1" applyBorder="1"/>
    <xf numFmtId="1" fontId="3" fillId="2" borderId="7" xfId="0" applyNumberFormat="1" applyFont="1" applyFill="1" applyBorder="1"/>
    <xf numFmtId="1" fontId="3" fillId="2" borderId="13" xfId="0" applyNumberFormat="1" applyFont="1" applyFill="1" applyBorder="1"/>
    <xf numFmtId="0" fontId="2" fillId="0" borderId="2" xfId="0" applyFont="1" applyBorder="1"/>
    <xf numFmtId="3" fontId="2" fillId="0" borderId="38" xfId="0" applyNumberFormat="1" applyFont="1" applyBorder="1"/>
    <xf numFmtId="0" fontId="2" fillId="3" borderId="15" xfId="0" applyFont="1" applyFill="1" applyBorder="1"/>
    <xf numFmtId="3" fontId="2" fillId="3" borderId="27" xfId="0" applyNumberFormat="1" applyFont="1" applyFill="1" applyBorder="1" applyAlignment="1">
      <alignment horizontal="center"/>
    </xf>
    <xf numFmtId="3" fontId="2" fillId="4" borderId="18" xfId="0" applyNumberFormat="1" applyFont="1" applyFill="1" applyBorder="1" applyAlignment="1">
      <alignment horizontal="center"/>
    </xf>
    <xf numFmtId="0" fontId="2" fillId="6" borderId="15" xfId="0" applyFont="1" applyFill="1" applyBorder="1"/>
    <xf numFmtId="10" fontId="2" fillId="10" borderId="14" xfId="1" applyNumberFormat="1" applyFont="1" applyFill="1" applyBorder="1"/>
    <xf numFmtId="0" fontId="2" fillId="0" borderId="5" xfId="0" applyFont="1" applyBorder="1" applyAlignment="1">
      <alignment horizontal="left"/>
    </xf>
    <xf numFmtId="3" fontId="2" fillId="10" borderId="13" xfId="0" applyNumberFormat="1" applyFont="1" applyFill="1" applyBorder="1"/>
    <xf numFmtId="0" fontId="2" fillId="0" borderId="2" xfId="0" applyFont="1" applyFill="1" applyBorder="1" applyAlignment="1">
      <alignment horizontal="left"/>
    </xf>
    <xf numFmtId="165" fontId="2" fillId="10" borderId="11" xfId="0" applyNumberFormat="1" applyFont="1" applyFill="1" applyBorder="1" applyAlignment="1"/>
    <xf numFmtId="0" fontId="2" fillId="0" borderId="3" xfId="0" applyFont="1" applyFill="1" applyBorder="1" applyAlignment="1">
      <alignment horizontal="left"/>
    </xf>
    <xf numFmtId="10" fontId="2" fillId="10" borderId="13" xfId="0" applyNumberFormat="1" applyFont="1" applyFill="1" applyBorder="1" applyAlignment="1"/>
    <xf numFmtId="3" fontId="2" fillId="0" borderId="32" xfId="0" applyNumberFormat="1" applyFont="1" applyFill="1" applyBorder="1"/>
    <xf numFmtId="10" fontId="2" fillId="10" borderId="36" xfId="0" applyNumberFormat="1" applyFont="1" applyFill="1" applyBorder="1" applyAlignment="1"/>
    <xf numFmtId="0" fontId="2" fillId="0" borderId="11" xfId="0" applyFont="1" applyBorder="1"/>
    <xf numFmtId="9" fontId="2" fillId="0" borderId="0" xfId="0" applyNumberFormat="1" applyFont="1" applyFill="1" applyBorder="1"/>
    <xf numFmtId="0" fontId="2" fillId="0" borderId="5" xfId="0" applyFont="1" applyBorder="1"/>
    <xf numFmtId="3" fontId="2" fillId="0" borderId="22" xfId="0" applyNumberFormat="1" applyFont="1" applyFill="1" applyBorder="1" applyAlignment="1">
      <alignment horizontal="right"/>
    </xf>
    <xf numFmtId="3" fontId="2" fillId="10" borderId="0" xfId="0" applyNumberFormat="1" applyFont="1" applyFill="1" applyBorder="1" applyAlignment="1">
      <alignment horizontal="right"/>
    </xf>
    <xf numFmtId="3" fontId="2" fillId="10" borderId="11" xfId="0" applyNumberFormat="1" applyFont="1" applyFill="1" applyBorder="1" applyAlignment="1">
      <alignment horizontal="right"/>
    </xf>
    <xf numFmtId="0" fontId="2" fillId="0" borderId="3" xfId="0" applyFont="1" applyBorder="1"/>
    <xf numFmtId="3" fontId="2" fillId="0" borderId="12" xfId="0" applyNumberFormat="1" applyFont="1" applyFill="1" applyBorder="1" applyAlignment="1">
      <alignment horizontal="right"/>
    </xf>
    <xf numFmtId="3" fontId="2" fillId="0" borderId="13" xfId="0" applyNumberFormat="1" applyFont="1" applyFill="1" applyBorder="1" applyAlignment="1">
      <alignment horizontal="right"/>
    </xf>
    <xf numFmtId="0" fontId="2" fillId="0" borderId="2" xfId="0" applyFont="1" applyFill="1" applyBorder="1"/>
    <xf numFmtId="0" fontId="2" fillId="0" borderId="12" xfId="0" applyFont="1" applyBorder="1"/>
    <xf numFmtId="0" fontId="2" fillId="0" borderId="13" xfId="0" applyFont="1" applyBorder="1"/>
    <xf numFmtId="0" fontId="2" fillId="0" borderId="5" xfId="0" applyFont="1" applyFill="1" applyBorder="1"/>
    <xf numFmtId="3" fontId="2" fillId="10" borderId="22" xfId="0" applyNumberFormat="1" applyFont="1" applyFill="1" applyBorder="1" applyAlignment="1">
      <alignment horizontal="right"/>
    </xf>
    <xf numFmtId="3" fontId="2" fillId="10" borderId="14"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11" xfId="0" applyNumberFormat="1" applyFont="1" applyFill="1" applyBorder="1" applyAlignment="1">
      <alignment horizontal="right"/>
    </xf>
    <xf numFmtId="0" fontId="2" fillId="0" borderId="3" xfId="0" applyFont="1" applyFill="1" applyBorder="1"/>
    <xf numFmtId="3" fontId="2" fillId="10" borderId="22" xfId="0" applyNumberFormat="1" applyFont="1" applyFill="1" applyBorder="1"/>
    <xf numFmtId="3" fontId="2" fillId="10" borderId="14" xfId="0" applyNumberFormat="1" applyFont="1" applyFill="1" applyBorder="1"/>
    <xf numFmtId="4" fontId="2" fillId="10" borderId="0" xfId="0" applyNumberFormat="1" applyFont="1" applyFill="1" applyBorder="1"/>
    <xf numFmtId="0" fontId="2" fillId="10" borderId="0" xfId="0" applyFont="1" applyFill="1" applyBorder="1"/>
    <xf numFmtId="0" fontId="2" fillId="10" borderId="11" xfId="0" applyFont="1" applyFill="1" applyBorder="1"/>
    <xf numFmtId="9" fontId="2" fillId="2" borderId="39" xfId="1" applyFont="1" applyFill="1" applyBorder="1"/>
    <xf numFmtId="3" fontId="2" fillId="0" borderId="40" xfId="0" applyNumberFormat="1" applyFont="1" applyBorder="1"/>
    <xf numFmtId="3" fontId="2" fillId="2" borderId="37" xfId="0" applyNumberFormat="1" applyFont="1" applyFill="1" applyBorder="1"/>
    <xf numFmtId="3" fontId="3" fillId="0" borderId="0" xfId="0" applyNumberFormat="1" applyFont="1" applyFill="1" applyBorder="1"/>
    <xf numFmtId="9" fontId="2" fillId="2" borderId="15" xfId="0" applyNumberFormat="1" applyFont="1" applyFill="1" applyBorder="1"/>
    <xf numFmtId="9" fontId="2" fillId="2" borderId="20" xfId="0" applyNumberFormat="1" applyFont="1" applyFill="1" applyBorder="1"/>
    <xf numFmtId="3" fontId="2" fillId="0" borderId="31" xfId="0" applyNumberFormat="1" applyFont="1" applyBorder="1"/>
    <xf numFmtId="3" fontId="3" fillId="0" borderId="31" xfId="0" applyNumberFormat="1" applyFont="1" applyFill="1" applyBorder="1"/>
    <xf numFmtId="3" fontId="2" fillId="0" borderId="14" xfId="0" applyNumberFormat="1" applyFont="1" applyFill="1" applyBorder="1" applyAlignment="1">
      <alignment horizontal="right"/>
    </xf>
    <xf numFmtId="3" fontId="2" fillId="0" borderId="5" xfId="0" applyNumberFormat="1" applyFont="1" applyFill="1" applyBorder="1"/>
    <xf numFmtId="3" fontId="2" fillId="0" borderId="22" xfId="0" applyNumberFormat="1" applyFont="1" applyFill="1" applyBorder="1" applyAlignment="1" applyProtection="1">
      <alignment horizontal="center"/>
    </xf>
    <xf numFmtId="3" fontId="2" fillId="0" borderId="14" xfId="0" applyNumberFormat="1" applyFont="1" applyFill="1" applyBorder="1" applyAlignment="1" applyProtection="1">
      <alignment horizontal="center"/>
    </xf>
    <xf numFmtId="3" fontId="2" fillId="0" borderId="26" xfId="0" applyNumberFormat="1" applyFont="1" applyFill="1" applyBorder="1" applyAlignment="1" applyProtection="1">
      <alignment vertical="center" wrapText="1"/>
      <protection locked="0"/>
    </xf>
    <xf numFmtId="3" fontId="2" fillId="9" borderId="29" xfId="0" applyNumberFormat="1" applyFont="1" applyFill="1" applyBorder="1" applyAlignment="1">
      <alignment horizontal="right"/>
    </xf>
    <xf numFmtId="3" fontId="2" fillId="0" borderId="2" xfId="0" applyNumberFormat="1" applyFont="1" applyFill="1" applyBorder="1" applyAlignment="1" applyProtection="1">
      <alignment vertical="center" wrapText="1"/>
      <protection locked="0"/>
    </xf>
    <xf numFmtId="3" fontId="2" fillId="9" borderId="11" xfId="0" applyNumberFormat="1" applyFont="1" applyFill="1" applyBorder="1" applyAlignment="1">
      <alignment horizontal="right"/>
    </xf>
    <xf numFmtId="0" fontId="0" fillId="0" borderId="11" xfId="0" applyBorder="1"/>
    <xf numFmtId="164" fontId="2" fillId="0" borderId="13" xfId="0" applyNumberFormat="1" applyFont="1" applyFill="1" applyBorder="1" applyAlignment="1">
      <alignment horizontal="right"/>
    </xf>
    <xf numFmtId="0" fontId="2" fillId="0" borderId="0" xfId="0" applyFont="1" applyFill="1"/>
    <xf numFmtId="49" fontId="3" fillId="0" borderId="0" xfId="2" applyNumberFormat="1" applyFont="1" applyBorder="1" applyAlignment="1">
      <alignment vertical="top"/>
    </xf>
    <xf numFmtId="49" fontId="2" fillId="0" borderId="4" xfId="2" applyNumberFormat="1" applyFont="1" applyBorder="1" applyAlignment="1">
      <alignment vertical="top"/>
    </xf>
    <xf numFmtId="0" fontId="2" fillId="0" borderId="4" xfId="2" applyFont="1" applyBorder="1" applyAlignment="1">
      <alignment vertical="top"/>
    </xf>
    <xf numFmtId="0" fontId="2" fillId="0" borderId="0" xfId="2" applyFont="1" applyAlignment="1"/>
    <xf numFmtId="0" fontId="0" fillId="0" borderId="0" xfId="0" applyAlignment="1">
      <alignment wrapText="1"/>
    </xf>
    <xf numFmtId="3" fontId="0" fillId="0" borderId="0" xfId="0" applyNumberFormat="1"/>
    <xf numFmtId="3" fontId="2" fillId="0" borderId="0" xfId="2" applyNumberFormat="1" applyFont="1" applyBorder="1" applyAlignment="1">
      <alignment horizontal="center" vertical="top" wrapText="1"/>
    </xf>
    <xf numFmtId="49" fontId="2" fillId="0" borderId="0" xfId="2" applyNumberFormat="1" applyFont="1" applyBorder="1" applyAlignment="1">
      <alignment vertical="top"/>
    </xf>
    <xf numFmtId="49" fontId="2" fillId="0" borderId="1" xfId="2" applyNumberFormat="1" applyFont="1" applyBorder="1" applyAlignment="1">
      <alignment vertical="top"/>
    </xf>
    <xf numFmtId="49" fontId="3" fillId="3" borderId="0" xfId="2" applyNumberFormat="1" applyFont="1" applyFill="1" applyBorder="1" applyAlignment="1">
      <alignment vertical="top"/>
    </xf>
    <xf numFmtId="3" fontId="2" fillId="0" borderId="5" xfId="0" applyNumberFormat="1" applyFont="1" applyFill="1" applyBorder="1" applyAlignment="1">
      <alignment wrapText="1"/>
    </xf>
    <xf numFmtId="3" fontId="2" fillId="0" borderId="22" xfId="0" applyNumberFormat="1" applyFont="1" applyFill="1" applyBorder="1" applyAlignment="1" applyProtection="1">
      <alignment horizontal="center" wrapText="1"/>
    </xf>
    <xf numFmtId="3" fontId="2" fillId="0" borderId="14" xfId="0" applyNumberFormat="1" applyFont="1" applyFill="1" applyBorder="1" applyAlignment="1" applyProtection="1">
      <alignment horizontal="center" wrapText="1"/>
    </xf>
    <xf numFmtId="3" fontId="2" fillId="9" borderId="28" xfId="0" applyNumberFormat="1" applyFont="1" applyFill="1" applyBorder="1" applyAlignment="1">
      <alignment horizontal="right" wrapText="1"/>
    </xf>
    <xf numFmtId="3" fontId="2" fillId="9" borderId="29" xfId="0" applyNumberFormat="1" applyFont="1" applyFill="1" applyBorder="1" applyAlignment="1">
      <alignment horizontal="right" wrapText="1"/>
    </xf>
    <xf numFmtId="0" fontId="6" fillId="7" borderId="17" xfId="0" applyFont="1" applyFill="1" applyBorder="1" applyAlignment="1" applyProtection="1">
      <alignment horizontal="center"/>
    </xf>
    <xf numFmtId="0" fontId="6" fillId="0" borderId="15" xfId="0" applyFont="1" applyFill="1" applyBorder="1" applyAlignment="1" applyProtection="1">
      <alignment horizontal="left"/>
    </xf>
    <xf numFmtId="1" fontId="6" fillId="0" borderId="15" xfId="0" applyNumberFormat="1" applyFont="1" applyFill="1" applyBorder="1" applyAlignment="1" applyProtection="1">
      <alignment horizontal="left"/>
    </xf>
    <xf numFmtId="3" fontId="1" fillId="0" borderId="0" xfId="0" applyNumberFormat="1" applyFont="1"/>
    <xf numFmtId="3" fontId="1" fillId="0" borderId="15" xfId="0" applyNumberFormat="1" applyFont="1" applyBorder="1"/>
    <xf numFmtId="3" fontId="1" fillId="0" borderId="20" xfId="0" applyNumberFormat="1" applyFont="1" applyBorder="1"/>
    <xf numFmtId="3" fontId="6" fillId="0" borderId="3" xfId="0" applyNumberFormat="1" applyFont="1" applyFill="1" applyBorder="1" applyAlignment="1" applyProtection="1">
      <alignment horizontal="left"/>
    </xf>
    <xf numFmtId="3" fontId="6" fillId="0" borderId="20" xfId="0" applyNumberFormat="1" applyFont="1" applyFill="1" applyBorder="1" applyAlignment="1" applyProtection="1">
      <alignment horizontal="right"/>
    </xf>
    <xf numFmtId="3" fontId="6" fillId="7" borderId="17" xfId="0" applyNumberFormat="1" applyFont="1" applyFill="1" applyBorder="1" applyAlignment="1" applyProtection="1">
      <alignment horizontal="right"/>
    </xf>
    <xf numFmtId="3" fontId="6" fillId="0" borderId="31" xfId="0" applyNumberFormat="1" applyFont="1" applyFill="1" applyBorder="1" applyAlignment="1" applyProtection="1">
      <alignment horizontal="right"/>
    </xf>
    <xf numFmtId="0" fontId="0" fillId="0" borderId="28" xfId="0" applyBorder="1" applyAlignment="1">
      <alignment wrapText="1"/>
    </xf>
    <xf numFmtId="3" fontId="2" fillId="0" borderId="28" xfId="0" applyNumberFormat="1" applyFont="1" applyFill="1" applyBorder="1"/>
    <xf numFmtId="0" fontId="2" fillId="7" borderId="31"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11" borderId="35" xfId="0" applyFont="1" applyFill="1" applyBorder="1" applyAlignment="1">
      <alignment horizontal="center"/>
    </xf>
    <xf numFmtId="3" fontId="2" fillId="11" borderId="6" xfId="0" applyNumberFormat="1" applyFont="1" applyFill="1" applyBorder="1" applyAlignment="1" applyProtection="1">
      <alignment horizontal="center"/>
    </xf>
    <xf numFmtId="3" fontId="2" fillId="11" borderId="7" xfId="0" applyNumberFormat="1" applyFont="1" applyFill="1" applyBorder="1" applyAlignment="1" applyProtection="1">
      <alignment horizontal="center"/>
    </xf>
    <xf numFmtId="3" fontId="2" fillId="0" borderId="2" xfId="0" applyNumberFormat="1" applyFont="1" applyFill="1" applyBorder="1" applyAlignment="1">
      <alignment horizontal="left" vertical="center"/>
    </xf>
    <xf numFmtId="3" fontId="2" fillId="0" borderId="0" xfId="0" applyNumberFormat="1"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4" fontId="2" fillId="0" borderId="0" xfId="0" applyNumberFormat="1" applyFont="1" applyFill="1"/>
    <xf numFmtId="3" fontId="2" fillId="0" borderId="2" xfId="0" applyNumberFormat="1" applyFont="1" applyFill="1" applyBorder="1"/>
    <xf numFmtId="3" fontId="2" fillId="0" borderId="11" xfId="0" applyNumberFormat="1" applyFont="1" applyFill="1" applyBorder="1"/>
    <xf numFmtId="3" fontId="2" fillId="11" borderId="41" xfId="0" applyNumberFormat="1" applyFont="1" applyFill="1" applyBorder="1" applyAlignment="1">
      <alignment horizontal="center"/>
    </xf>
    <xf numFmtId="3" fontId="2" fillId="11" borderId="1" xfId="0" applyNumberFormat="1" applyFont="1" applyFill="1" applyBorder="1" applyAlignment="1" applyProtection="1">
      <alignment horizontal="center"/>
    </xf>
    <xf numFmtId="3" fontId="2" fillId="11" borderId="9" xfId="0" applyNumberFormat="1" applyFont="1" applyFill="1" applyBorder="1" applyAlignment="1" applyProtection="1">
      <alignment horizontal="center"/>
    </xf>
    <xf numFmtId="3" fontId="2" fillId="7" borderId="2" xfId="0" applyNumberFormat="1" applyFont="1" applyFill="1" applyBorder="1"/>
    <xf numFmtId="3" fontId="2" fillId="7" borderId="0" xfId="0" applyNumberFormat="1" applyFont="1" applyFill="1" applyBorder="1" applyAlignment="1">
      <alignment horizontal="center" vertical="center" wrapText="1"/>
    </xf>
    <xf numFmtId="3" fontId="2" fillId="7" borderId="11" xfId="0" applyNumberFormat="1" applyFont="1" applyFill="1" applyBorder="1" applyAlignment="1">
      <alignment horizontal="center" vertical="center" wrapText="1"/>
    </xf>
    <xf numFmtId="3" fontId="2" fillId="7" borderId="3" xfId="0" applyNumberFormat="1" applyFont="1" applyFill="1" applyBorder="1"/>
    <xf numFmtId="3" fontId="2" fillId="7" borderId="12" xfId="0" applyNumberFormat="1" applyFont="1" applyFill="1" applyBorder="1" applyAlignment="1">
      <alignment horizontal="center"/>
    </xf>
    <xf numFmtId="3" fontId="2" fillId="7" borderId="13" xfId="0" applyNumberFormat="1" applyFont="1" applyFill="1" applyBorder="1" applyAlignment="1">
      <alignment horizontal="center"/>
    </xf>
    <xf numFmtId="0" fontId="2" fillId="0" borderId="21" xfId="0" applyFont="1" applyFill="1" applyBorder="1" applyAlignment="1">
      <alignment horizontal="center" wrapText="1"/>
    </xf>
    <xf numFmtId="0" fontId="2" fillId="0" borderId="35" xfId="0" applyFont="1" applyFill="1" applyBorder="1" applyAlignment="1">
      <alignment horizontal="centerContinuous"/>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xf numFmtId="0" fontId="2" fillId="0" borderId="0" xfId="0" applyFont="1" applyFill="1" applyAlignment="1"/>
    <xf numFmtId="0" fontId="2" fillId="0" borderId="15" xfId="0" applyFont="1" applyFill="1" applyBorder="1"/>
    <xf numFmtId="9" fontId="2" fillId="2" borderId="0" xfId="0" applyNumberFormat="1" applyFont="1" applyFill="1" applyBorder="1"/>
    <xf numFmtId="1" fontId="2" fillId="2" borderId="11" xfId="0" applyNumberFormat="1" applyFont="1" applyFill="1" applyBorder="1" applyAlignment="1">
      <alignment horizontal="center"/>
    </xf>
    <xf numFmtId="10" fontId="2" fillId="2" borderId="2" xfId="0" applyNumberFormat="1" applyFont="1" applyFill="1" applyBorder="1"/>
    <xf numFmtId="0" fontId="2" fillId="0" borderId="11" xfId="0" applyFont="1" applyFill="1" applyBorder="1"/>
    <xf numFmtId="0" fontId="2" fillId="0" borderId="15" xfId="0" applyFont="1" applyFill="1" applyBorder="1" applyAlignment="1">
      <alignment horizontal="left"/>
    </xf>
    <xf numFmtId="4" fontId="2" fillId="2" borderId="2" xfId="0" applyNumberFormat="1" applyFont="1" applyFill="1" applyBorder="1"/>
    <xf numFmtId="4" fontId="2" fillId="0" borderId="0" xfId="0" applyNumberFormat="1" applyFont="1" applyFill="1" applyBorder="1"/>
    <xf numFmtId="3" fontId="2" fillId="2" borderId="2" xfId="0" applyNumberFormat="1" applyFont="1" applyFill="1" applyBorder="1"/>
    <xf numFmtId="0" fontId="2" fillId="0" borderId="16"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4" fontId="2" fillId="2" borderId="2" xfId="0" applyNumberFormat="1" applyFont="1" applyFill="1" applyBorder="1" applyAlignment="1">
      <alignment horizontal="center"/>
    </xf>
    <xf numFmtId="3" fontId="2" fillId="2" borderId="0" xfId="0" applyNumberFormat="1" applyFont="1" applyFill="1" applyBorder="1" applyAlignment="1">
      <alignment horizontal="center"/>
    </xf>
    <xf numFmtId="0" fontId="2" fillId="0" borderId="20" xfId="0" applyFont="1" applyFill="1" applyBorder="1"/>
    <xf numFmtId="4" fontId="2" fillId="2" borderId="3" xfId="0" applyNumberFormat="1" applyFont="1" applyFill="1" applyBorder="1" applyAlignment="1">
      <alignment horizontal="center"/>
    </xf>
    <xf numFmtId="3" fontId="2" fillId="2" borderId="12" xfId="0" applyNumberFormat="1" applyFont="1" applyFill="1" applyBorder="1" applyAlignment="1">
      <alignment horizontal="center"/>
    </xf>
    <xf numFmtId="0" fontId="2" fillId="0" borderId="13" xfId="0" applyFont="1" applyFill="1" applyBorder="1"/>
    <xf numFmtId="0" fontId="2" fillId="0" borderId="35" xfId="0" applyFont="1" applyFill="1" applyBorder="1" applyAlignment="1">
      <alignment horizontal="center" vertical="center" wrapText="1"/>
    </xf>
    <xf numFmtId="3" fontId="2" fillId="0" borderId="2"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11" xfId="0" applyNumberFormat="1" applyFont="1" applyFill="1" applyBorder="1" applyAlignment="1">
      <alignment horizontal="center"/>
    </xf>
    <xf numFmtId="0" fontId="2" fillId="7" borderId="3" xfId="0" applyFont="1" applyFill="1" applyBorder="1" applyAlignment="1">
      <alignment horizontal="right"/>
    </xf>
    <xf numFmtId="3" fontId="2" fillId="7" borderId="3" xfId="0" applyNumberFormat="1" applyFont="1" applyFill="1" applyBorder="1" applyAlignment="1">
      <alignment horizontal="center"/>
    </xf>
    <xf numFmtId="0" fontId="2" fillId="0" borderId="0" xfId="0" applyFont="1" applyFill="1" applyBorder="1" applyAlignment="1">
      <alignment horizontal="right"/>
    </xf>
    <xf numFmtId="0" fontId="2" fillId="7" borderId="17" xfId="0" applyFont="1" applyFill="1" applyBorder="1" applyAlignment="1">
      <alignment horizontal="center"/>
    </xf>
    <xf numFmtId="0" fontId="2" fillId="0" borderId="7" xfId="0" applyFont="1" applyFill="1" applyBorder="1"/>
    <xf numFmtId="3" fontId="2" fillId="2" borderId="2" xfId="0" applyNumberFormat="1" applyFont="1" applyFill="1" applyBorder="1" applyAlignment="1">
      <alignment horizontal="center"/>
    </xf>
    <xf numFmtId="9" fontId="2" fillId="2" borderId="12" xfId="0" applyNumberFormat="1" applyFont="1" applyFill="1" applyBorder="1"/>
    <xf numFmtId="1" fontId="2" fillId="2" borderId="13" xfId="0" applyNumberFormat="1" applyFont="1" applyFill="1" applyBorder="1" applyAlignment="1">
      <alignment horizontal="center"/>
    </xf>
    <xf numFmtId="0" fontId="2" fillId="0" borderId="6" xfId="0" applyFont="1" applyFill="1" applyBorder="1" applyAlignment="1">
      <alignment horizontal="centerContinuous"/>
    </xf>
    <xf numFmtId="0" fontId="2" fillId="0" borderId="22" xfId="0" applyFont="1" applyFill="1" applyBorder="1"/>
    <xf numFmtId="4" fontId="2" fillId="0" borderId="22" xfId="0" applyNumberFormat="1" applyFont="1" applyFill="1" applyBorder="1"/>
    <xf numFmtId="1" fontId="2" fillId="2" borderId="0" xfId="0" applyNumberFormat="1" applyFont="1" applyFill="1" applyBorder="1"/>
    <xf numFmtId="10" fontId="2" fillId="2" borderId="0" xfId="0" applyNumberFormat="1" applyFont="1" applyFill="1" applyBorder="1"/>
    <xf numFmtId="10" fontId="2" fillId="2" borderId="12" xfId="0" applyNumberFormat="1" applyFont="1" applyFill="1" applyBorder="1"/>
    <xf numFmtId="0" fontId="2" fillId="0" borderId="12" xfId="0" applyFont="1" applyFill="1" applyBorder="1"/>
    <xf numFmtId="0" fontId="2" fillId="0" borderId="0" xfId="0" applyFont="1" applyFill="1" applyAlignment="1">
      <alignment wrapText="1"/>
    </xf>
    <xf numFmtId="0" fontId="2" fillId="2" borderId="0" xfId="0" applyFont="1" applyFill="1" applyBorder="1" applyAlignment="1">
      <alignment horizontal="center"/>
    </xf>
    <xf numFmtId="10" fontId="2" fillId="0" borderId="0" xfId="0" applyNumberFormat="1" applyFont="1" applyFill="1" applyBorder="1" applyAlignment="1">
      <alignment horizontal="center"/>
    </xf>
    <xf numFmtId="0" fontId="2" fillId="7" borderId="12" xfId="0" applyFont="1" applyFill="1" applyBorder="1"/>
    <xf numFmtId="3" fontId="2" fillId="7" borderId="12" xfId="0" applyNumberFormat="1" applyFont="1" applyFill="1" applyBorder="1"/>
    <xf numFmtId="0" fontId="2" fillId="7" borderId="42" xfId="0" applyFont="1" applyFill="1" applyBorder="1" applyAlignment="1">
      <alignment horizontal="centerContinuous"/>
    </xf>
    <xf numFmtId="0" fontId="2" fillId="7" borderId="4" xfId="0" applyFont="1" applyFill="1" applyBorder="1" applyAlignment="1">
      <alignment horizontal="centerContinuous"/>
    </xf>
    <xf numFmtId="0" fontId="2" fillId="7" borderId="43" xfId="0" applyFont="1" applyFill="1" applyBorder="1" applyAlignment="1">
      <alignment horizontal="centerContinuous"/>
    </xf>
    <xf numFmtId="0" fontId="2" fillId="0" borderId="44" xfId="0" applyFont="1" applyFill="1" applyBorder="1" applyAlignment="1">
      <alignment horizontal="center"/>
    </xf>
    <xf numFmtId="0" fontId="2" fillId="0" borderId="42" xfId="0" applyFont="1" applyFill="1" applyBorder="1" applyAlignment="1">
      <alignment horizontal="centerContinuous"/>
    </xf>
    <xf numFmtId="0" fontId="2" fillId="0" borderId="4" xfId="0" applyFont="1" applyFill="1" applyBorder="1" applyAlignment="1">
      <alignment horizontal="centerContinuous"/>
    </xf>
    <xf numFmtId="0" fontId="2" fillId="0" borderId="43" xfId="0" applyFont="1" applyFill="1" applyBorder="1" applyAlignment="1">
      <alignment horizontal="centerContinuous"/>
    </xf>
    <xf numFmtId="0" fontId="2" fillId="0" borderId="45" xfId="0" applyFont="1" applyFill="1" applyBorder="1" applyAlignment="1">
      <alignment horizontal="center" wrapText="1"/>
    </xf>
    <xf numFmtId="0" fontId="2" fillId="0" borderId="28" xfId="0" applyFont="1" applyFill="1" applyBorder="1" applyAlignment="1">
      <alignment horizontal="center" vertical="center"/>
    </xf>
    <xf numFmtId="0" fontId="2" fillId="0" borderId="43" xfId="0" applyFont="1" applyFill="1" applyBorder="1" applyAlignment="1">
      <alignment horizontal="center" vertical="center" wrapText="1"/>
    </xf>
    <xf numFmtId="4" fontId="2" fillId="2" borderId="44" xfId="0" applyNumberFormat="1" applyFont="1" applyFill="1" applyBorder="1" applyAlignment="1">
      <alignment horizontal="center"/>
    </xf>
    <xf numFmtId="0" fontId="2" fillId="2" borderId="28" xfId="0" applyFont="1" applyFill="1" applyBorder="1" applyAlignment="1">
      <alignment horizontal="center"/>
    </xf>
    <xf numFmtId="0" fontId="2" fillId="0" borderId="28" xfId="0" applyFont="1" applyFill="1" applyBorder="1" applyAlignment="1">
      <alignment horizontal="center"/>
    </xf>
    <xf numFmtId="4" fontId="2" fillId="2" borderId="46" xfId="0" applyNumberFormat="1" applyFont="1" applyFill="1" applyBorder="1" applyAlignment="1">
      <alignment horizontal="center"/>
    </xf>
    <xf numFmtId="3" fontId="2" fillId="0" borderId="45" xfId="0" applyNumberFormat="1" applyFont="1" applyFill="1" applyBorder="1" applyAlignment="1">
      <alignment horizontal="center"/>
    </xf>
    <xf numFmtId="3" fontId="2" fillId="7" borderId="3" xfId="0" applyNumberFormat="1" applyFont="1" applyFill="1" applyBorder="1" applyAlignment="1">
      <alignment horizontal="center"/>
    </xf>
    <xf numFmtId="3" fontId="2" fillId="7" borderId="12" xfId="0" applyNumberFormat="1" applyFont="1" applyFill="1" applyBorder="1" applyAlignment="1">
      <alignment horizontal="center"/>
    </xf>
    <xf numFmtId="167" fontId="2" fillId="0" borderId="0" xfId="0" applyNumberFormat="1" applyFont="1" applyFill="1"/>
    <xf numFmtId="3" fontId="2" fillId="0" borderId="0" xfId="0" applyNumberFormat="1" applyFont="1" applyFill="1" applyBorder="1" applyAlignment="1"/>
    <xf numFmtId="4" fontId="2" fillId="0" borderId="0" xfId="0" applyNumberFormat="1" applyFont="1" applyFill="1" applyBorder="1" applyAlignment="1"/>
    <xf numFmtId="3" fontId="0" fillId="0" borderId="0" xfId="0" applyNumberFormat="1" applyBorder="1"/>
    <xf numFmtId="0" fontId="3" fillId="0" borderId="0" xfId="5"/>
    <xf numFmtId="3" fontId="2" fillId="2" borderId="28" xfId="5" applyNumberFormat="1" applyFont="1" applyFill="1" applyBorder="1"/>
    <xf numFmtId="4" fontId="6" fillId="0" borderId="21" xfId="5" applyNumberFormat="1" applyFont="1" applyFill="1" applyBorder="1" applyAlignment="1" applyProtection="1">
      <alignment horizontal="right"/>
    </xf>
    <xf numFmtId="4" fontId="6" fillId="0" borderId="15" xfId="5" applyNumberFormat="1" applyFont="1" applyFill="1" applyBorder="1" applyAlignment="1" applyProtection="1">
      <alignment horizontal="right"/>
    </xf>
    <xf numFmtId="4" fontId="6" fillId="0" borderId="17" xfId="5" applyNumberFormat="1" applyFont="1" applyFill="1" applyBorder="1" applyAlignment="1" applyProtection="1">
      <alignment horizontal="right"/>
    </xf>
    <xf numFmtId="3" fontId="2" fillId="7" borderId="3" xfId="0" applyNumberFormat="1" applyFont="1" applyFill="1" applyBorder="1" applyAlignment="1">
      <alignment horizontal="center"/>
    </xf>
    <xf numFmtId="3" fontId="2" fillId="2" borderId="42" xfId="0" applyNumberFormat="1" applyFont="1" applyFill="1" applyBorder="1"/>
    <xf numFmtId="3" fontId="2" fillId="7" borderId="5" xfId="0" applyNumberFormat="1" applyFont="1" applyFill="1" applyBorder="1"/>
    <xf numFmtId="3" fontId="8" fillId="0" borderId="5" xfId="0" applyNumberFormat="1" applyFont="1" applyFill="1" applyBorder="1"/>
    <xf numFmtId="3" fontId="8" fillId="0" borderId="5" xfId="0" applyNumberFormat="1" applyFont="1" applyFill="1" applyBorder="1" applyAlignment="1">
      <alignment horizontal="center"/>
    </xf>
    <xf numFmtId="3" fontId="8" fillId="0" borderId="22" xfId="0" applyNumberFormat="1" applyFont="1" applyFill="1" applyBorder="1" applyAlignment="1">
      <alignment horizontal="center"/>
    </xf>
    <xf numFmtId="3" fontId="8" fillId="0" borderId="14" xfId="0" applyNumberFormat="1" applyFont="1" applyFill="1" applyBorder="1" applyAlignment="1">
      <alignment horizontal="center"/>
    </xf>
    <xf numFmtId="3" fontId="2" fillId="7" borderId="2" xfId="0" applyNumberFormat="1" applyFont="1" applyFill="1" applyBorder="1" applyAlignment="1">
      <alignment horizontal="center"/>
    </xf>
    <xf numFmtId="3" fontId="2" fillId="0" borderId="41" xfId="0" applyNumberFormat="1" applyFont="1" applyFill="1" applyBorder="1"/>
    <xf numFmtId="3" fontId="2" fillId="7" borderId="41" xfId="0" applyNumberFormat="1" applyFont="1" applyFill="1" applyBorder="1" applyAlignment="1">
      <alignment horizontal="center"/>
    </xf>
    <xf numFmtId="3" fontId="2" fillId="0" borderId="3" xfId="0" applyNumberFormat="1" applyFont="1" applyFill="1" applyBorder="1"/>
    <xf numFmtId="3" fontId="2" fillId="0" borderId="3" xfId="0" applyNumberFormat="1" applyFont="1" applyFill="1" applyBorder="1" applyAlignment="1">
      <alignment horizontal="center"/>
    </xf>
    <xf numFmtId="3" fontId="8" fillId="0" borderId="0" xfId="0" applyNumberFormat="1" applyFont="1" applyFill="1" applyBorder="1" applyAlignment="1">
      <alignment horizontal="center"/>
    </xf>
    <xf numFmtId="3" fontId="2" fillId="0" borderId="5" xfId="0" applyNumberFormat="1" applyFont="1" applyFill="1" applyBorder="1" applyAlignment="1">
      <alignment horizontal="center"/>
    </xf>
    <xf numFmtId="3" fontId="8" fillId="0" borderId="2" xfId="0" applyNumberFormat="1" applyFont="1" applyFill="1" applyBorder="1" applyAlignment="1">
      <alignment horizontal="center"/>
    </xf>
    <xf numFmtId="3" fontId="2" fillId="7" borderId="17" xfId="0" applyNumberFormat="1" applyFont="1" applyFill="1" applyBorder="1"/>
    <xf numFmtId="3" fontId="2" fillId="0" borderId="15" xfId="0" applyNumberFormat="1" applyFont="1" applyFill="1" applyBorder="1"/>
    <xf numFmtId="3" fontId="2" fillId="7" borderId="31" xfId="0" applyNumberFormat="1" applyFont="1" applyFill="1" applyBorder="1" applyAlignment="1">
      <alignment horizontal="center"/>
    </xf>
    <xf numFmtId="3" fontId="8" fillId="0" borderId="11" xfId="0" applyNumberFormat="1" applyFont="1" applyFill="1" applyBorder="1" applyAlignment="1">
      <alignment horizontal="center"/>
    </xf>
    <xf numFmtId="10" fontId="2" fillId="2" borderId="2" xfId="0" applyNumberFormat="1" applyFont="1" applyFill="1" applyBorder="1" applyAlignment="1">
      <alignment horizontal="center"/>
    </xf>
    <xf numFmtId="3" fontId="2" fillId="0" borderId="41" xfId="0" applyNumberFormat="1" applyFont="1" applyFill="1" applyBorder="1" applyAlignment="1">
      <alignment horizontal="center"/>
    </xf>
    <xf numFmtId="3" fontId="2" fillId="0" borderId="1" xfId="0" applyNumberFormat="1" applyFont="1" applyFill="1" applyBorder="1" applyAlignment="1">
      <alignment horizontal="center"/>
    </xf>
    <xf numFmtId="3" fontId="2" fillId="0" borderId="9" xfId="0" applyNumberFormat="1" applyFont="1" applyFill="1" applyBorder="1" applyAlignment="1">
      <alignment horizontal="center"/>
    </xf>
    <xf numFmtId="3" fontId="2" fillId="0" borderId="12" xfId="0" applyNumberFormat="1" applyFont="1" applyFill="1" applyBorder="1" applyAlignment="1">
      <alignment horizontal="center"/>
    </xf>
    <xf numFmtId="3" fontId="2" fillId="0" borderId="13" xfId="0" applyNumberFormat="1" applyFont="1" applyFill="1" applyBorder="1" applyAlignment="1">
      <alignment horizontal="center"/>
    </xf>
    <xf numFmtId="3" fontId="2" fillId="0" borderId="9" xfId="0" applyNumberFormat="1" applyFont="1" applyFill="1" applyBorder="1"/>
    <xf numFmtId="3" fontId="2" fillId="0" borderId="22" xfId="0" applyNumberFormat="1" applyFont="1" applyFill="1" applyBorder="1" applyAlignment="1">
      <alignment horizontal="center"/>
    </xf>
    <xf numFmtId="3" fontId="2" fillId="0" borderId="14" xfId="0" applyNumberFormat="1" applyFont="1" applyFill="1" applyBorder="1" applyAlignment="1">
      <alignment horizontal="center"/>
    </xf>
    <xf numFmtId="3" fontId="6" fillId="12" borderId="15" xfId="0" applyNumberFormat="1" applyFont="1" applyFill="1" applyBorder="1" applyAlignment="1" applyProtection="1">
      <alignment horizontal="right"/>
    </xf>
    <xf numFmtId="3" fontId="2" fillId="0" borderId="17" xfId="0" applyNumberFormat="1" applyFont="1" applyFill="1" applyBorder="1" applyAlignment="1">
      <alignment horizontal="center"/>
    </xf>
    <xf numFmtId="3" fontId="2" fillId="7" borderId="15" xfId="0" applyNumberFormat="1" applyFont="1" applyFill="1" applyBorder="1" applyAlignment="1">
      <alignment horizontal="center"/>
    </xf>
    <xf numFmtId="3" fontId="2" fillId="2" borderId="15" xfId="0" applyNumberFormat="1" applyFont="1" applyFill="1" applyBorder="1" applyAlignment="1">
      <alignment horizontal="center"/>
    </xf>
    <xf numFmtId="10" fontId="2" fillId="2" borderId="15" xfId="0" applyNumberFormat="1" applyFont="1" applyFill="1" applyBorder="1" applyAlignment="1">
      <alignment horizontal="center"/>
    </xf>
    <xf numFmtId="3" fontId="2" fillId="7" borderId="20" xfId="0" applyNumberFormat="1" applyFont="1" applyFill="1" applyBorder="1" applyAlignment="1">
      <alignment horizontal="center"/>
    </xf>
    <xf numFmtId="4" fontId="2" fillId="0" borderId="0" xfId="0" applyNumberFormat="1" applyFont="1"/>
    <xf numFmtId="0" fontId="0" fillId="0" borderId="12" xfId="0" applyBorder="1" applyAlignment="1">
      <alignment horizontal="center"/>
    </xf>
    <xf numFmtId="0" fontId="0" fillId="0" borderId="12" xfId="0" applyBorder="1" applyAlignment="1">
      <alignment horizontal="center" wrapText="1"/>
    </xf>
    <xf numFmtId="3" fontId="2" fillId="7" borderId="3" xfId="0" applyNumberFormat="1" applyFont="1" applyFill="1" applyBorder="1" applyAlignment="1">
      <alignment horizontal="center"/>
    </xf>
    <xf numFmtId="3" fontId="2" fillId="7" borderId="13" xfId="0" applyNumberFormat="1" applyFont="1" applyFill="1" applyBorder="1" applyAlignment="1">
      <alignment horizontal="center"/>
    </xf>
    <xf numFmtId="3" fontId="2" fillId="7" borderId="12" xfId="0" applyNumberFormat="1" applyFont="1" applyFill="1" applyBorder="1" applyAlignment="1">
      <alignment horizontal="center"/>
    </xf>
    <xf numFmtId="3" fontId="3" fillId="0" borderId="0" xfId="0" applyNumberFormat="1" applyFont="1" applyFill="1" applyBorder="1" applyAlignment="1">
      <alignment vertical="center" wrapText="1"/>
    </xf>
    <xf numFmtId="3" fontId="3" fillId="0" borderId="11" xfId="0" applyNumberFormat="1" applyFont="1" applyFill="1" applyBorder="1" applyAlignment="1">
      <alignment vertical="center" wrapText="1"/>
    </xf>
    <xf numFmtId="3" fontId="3" fillId="0" borderId="12" xfId="0" applyNumberFormat="1" applyFont="1" applyFill="1" applyBorder="1" applyAlignment="1">
      <alignment vertical="center" wrapText="1"/>
    </xf>
    <xf numFmtId="3" fontId="3" fillId="0" borderId="13" xfId="0" applyNumberFormat="1" applyFont="1" applyFill="1" applyBorder="1" applyAlignment="1">
      <alignment vertical="center" wrapText="1"/>
    </xf>
    <xf numFmtId="3" fontId="2" fillId="0" borderId="0" xfId="0" applyNumberFormat="1" applyFont="1" applyBorder="1" applyAlignment="1">
      <alignment wrapText="1"/>
    </xf>
    <xf numFmtId="3" fontId="2" fillId="0" borderId="0" xfId="0" applyNumberFormat="1" applyFont="1" applyAlignment="1">
      <alignment wrapText="1"/>
    </xf>
    <xf numFmtId="3" fontId="2" fillId="0" borderId="28" xfId="0" applyNumberFormat="1" applyFont="1" applyBorder="1" applyAlignment="1">
      <alignment wrapText="1"/>
    </xf>
    <xf numFmtId="3" fontId="3" fillId="7" borderId="28" xfId="0" applyNumberFormat="1" applyFont="1" applyFill="1" applyBorder="1" applyAlignment="1">
      <alignment vertical="center" wrapText="1"/>
    </xf>
    <xf numFmtId="3" fontId="6" fillId="7" borderId="47" xfId="0" applyNumberFormat="1" applyFont="1" applyFill="1" applyBorder="1" applyAlignment="1" applyProtection="1">
      <alignment horizontal="right"/>
    </xf>
    <xf numFmtId="3" fontId="6" fillId="7" borderId="37" xfId="0" applyNumberFormat="1" applyFont="1" applyFill="1" applyBorder="1" applyAlignment="1" applyProtection="1">
      <alignment horizontal="right"/>
    </xf>
    <xf numFmtId="3" fontId="2" fillId="0" borderId="29" xfId="0" applyNumberFormat="1" applyFont="1" applyBorder="1" applyAlignment="1">
      <alignment wrapText="1"/>
    </xf>
    <xf numFmtId="3" fontId="3" fillId="7" borderId="48" xfId="0" applyNumberFormat="1" applyFont="1" applyFill="1" applyBorder="1" applyAlignment="1">
      <alignment vertical="center" wrapText="1"/>
    </xf>
    <xf numFmtId="3" fontId="2" fillId="0" borderId="44" xfId="0" applyNumberFormat="1" applyFont="1" applyBorder="1" applyAlignment="1">
      <alignment wrapText="1"/>
    </xf>
    <xf numFmtId="3" fontId="2" fillId="0" borderId="49" xfId="0" applyNumberFormat="1" applyFont="1" applyBorder="1" applyAlignment="1">
      <alignment wrapText="1"/>
    </xf>
    <xf numFmtId="3" fontId="3" fillId="7" borderId="50" xfId="0" applyNumberFormat="1" applyFont="1" applyFill="1" applyBorder="1" applyAlignment="1">
      <alignment vertical="center" wrapText="1"/>
    </xf>
    <xf numFmtId="3" fontId="3" fillId="7" borderId="39" xfId="0" applyNumberFormat="1" applyFont="1" applyFill="1" applyBorder="1" applyAlignment="1">
      <alignment vertical="center" wrapText="1"/>
    </xf>
    <xf numFmtId="3" fontId="3" fillId="0" borderId="47" xfId="0" applyNumberFormat="1" applyFont="1" applyFill="1" applyBorder="1" applyAlignment="1">
      <alignment vertical="center" wrapText="1"/>
    </xf>
    <xf numFmtId="3" fontId="3" fillId="0" borderId="37" xfId="0" applyNumberFormat="1" applyFont="1" applyFill="1" applyBorder="1" applyAlignment="1">
      <alignment vertical="center" wrapText="1"/>
    </xf>
    <xf numFmtId="3" fontId="6" fillId="7" borderId="51" xfId="0" applyNumberFormat="1" applyFont="1" applyFill="1" applyBorder="1" applyAlignment="1" applyProtection="1">
      <alignment horizontal="right"/>
    </xf>
    <xf numFmtId="3" fontId="2" fillId="0" borderId="43" xfId="0" applyNumberFormat="1" applyFont="1" applyBorder="1" applyAlignment="1">
      <alignment wrapText="1"/>
    </xf>
    <xf numFmtId="3" fontId="2" fillId="0" borderId="52" xfId="0" applyNumberFormat="1" applyFont="1" applyBorder="1" applyAlignment="1">
      <alignment wrapText="1"/>
    </xf>
    <xf numFmtId="3" fontId="3" fillId="7" borderId="53" xfId="0" applyNumberFormat="1" applyFont="1" applyFill="1" applyBorder="1" applyAlignment="1">
      <alignment vertical="center" wrapText="1"/>
    </xf>
    <xf numFmtId="3" fontId="3" fillId="0" borderId="51" xfId="0" applyNumberFormat="1" applyFont="1" applyFill="1" applyBorder="1" applyAlignment="1">
      <alignment vertical="center" wrapText="1"/>
    </xf>
    <xf numFmtId="0" fontId="0" fillId="0" borderId="17" xfId="0" applyBorder="1" applyAlignment="1">
      <alignment wrapText="1"/>
    </xf>
    <xf numFmtId="0" fontId="2" fillId="0" borderId="15" xfId="0" applyFont="1" applyBorder="1" applyAlignment="1">
      <alignment wrapText="1"/>
    </xf>
    <xf numFmtId="3" fontId="2" fillId="0" borderId="31" xfId="0" applyNumberFormat="1" applyFont="1" applyFill="1" applyBorder="1" applyAlignment="1">
      <alignment vertical="center" wrapText="1"/>
    </xf>
    <xf numFmtId="3" fontId="2" fillId="0" borderId="17" xfId="0" applyNumberFormat="1" applyFont="1" applyFill="1" applyBorder="1" applyAlignment="1">
      <alignment vertical="center" wrapText="1"/>
    </xf>
    <xf numFmtId="3" fontId="2" fillId="0" borderId="15" xfId="0" applyNumberFormat="1" applyFont="1" applyFill="1" applyBorder="1" applyAlignment="1">
      <alignment vertical="center" wrapText="1"/>
    </xf>
    <xf numFmtId="3" fontId="2" fillId="0" borderId="20" xfId="0" applyNumberFormat="1" applyFont="1" applyFill="1" applyBorder="1" applyAlignment="1">
      <alignment vertical="center" wrapText="1"/>
    </xf>
  </cellXfs>
  <cellStyles count="7">
    <cellStyle name="Millares [0] 2" xfId="3"/>
    <cellStyle name="Normal" xfId="0" builtinId="0"/>
    <cellStyle name="Normal 2" xfId="2"/>
    <cellStyle name="Normal 3" xfId="5"/>
    <cellStyle name="Porcentual" xfId="1" builtinId="5"/>
    <cellStyle name="Porcentual 2" xfId="4"/>
    <cellStyle name="Porcentual 3" xfId="6"/>
  </cellStyles>
  <dxfs count="1">
    <dxf>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5</xdr:col>
      <xdr:colOff>76200</xdr:colOff>
      <xdr:row>9</xdr:row>
      <xdr:rowOff>76200</xdr:rowOff>
    </xdr:to>
    <xdr:sp macro="" textlink="">
      <xdr:nvSpPr>
        <xdr:cNvPr id="6" name="Text Box 30"/>
        <xdr:cNvSpPr txBox="1">
          <a:spLocks noChangeArrowheads="1"/>
        </xdr:cNvSpPr>
      </xdr:nvSpPr>
      <xdr:spPr bwMode="auto">
        <a:xfrm>
          <a:off x="4953000" y="838200"/>
          <a:ext cx="76200" cy="238125"/>
        </a:xfrm>
        <a:prstGeom prst="rect">
          <a:avLst/>
        </a:prstGeom>
        <a:noFill/>
        <a:ln w="9525">
          <a:noFill/>
          <a:miter lim="800000"/>
          <a:headEnd/>
          <a:tailEnd/>
        </a:ln>
      </xdr:spPr>
    </xdr:sp>
    <xdr:clientData/>
  </xdr:twoCellAnchor>
  <xdr:twoCellAnchor editAs="oneCell">
    <xdr:from>
      <xdr:col>5</xdr:col>
      <xdr:colOff>0</xdr:colOff>
      <xdr:row>8</xdr:row>
      <xdr:rowOff>0</xdr:rowOff>
    </xdr:from>
    <xdr:to>
      <xdr:col>5</xdr:col>
      <xdr:colOff>76200</xdr:colOff>
      <xdr:row>9</xdr:row>
      <xdr:rowOff>76200</xdr:rowOff>
    </xdr:to>
    <xdr:sp macro="" textlink="">
      <xdr:nvSpPr>
        <xdr:cNvPr id="7" name="Text Box 30"/>
        <xdr:cNvSpPr txBox="1">
          <a:spLocks noChangeArrowheads="1"/>
        </xdr:cNvSpPr>
      </xdr:nvSpPr>
      <xdr:spPr bwMode="auto">
        <a:xfrm>
          <a:off x="4953000" y="838200"/>
          <a:ext cx="76200" cy="238125"/>
        </a:xfrm>
        <a:prstGeom prst="rect">
          <a:avLst/>
        </a:prstGeom>
        <a:noFill/>
        <a:ln w="9525">
          <a:noFill/>
          <a:miter lim="800000"/>
          <a:headEnd/>
          <a:tailEnd/>
        </a:ln>
      </xdr:spPr>
    </xdr:sp>
    <xdr:clientData/>
  </xdr:twoCellAnchor>
  <xdr:twoCellAnchor editAs="oneCell">
    <xdr:from>
      <xdr:col>5</xdr:col>
      <xdr:colOff>0</xdr:colOff>
      <xdr:row>8</xdr:row>
      <xdr:rowOff>0</xdr:rowOff>
    </xdr:from>
    <xdr:to>
      <xdr:col>5</xdr:col>
      <xdr:colOff>76200</xdr:colOff>
      <xdr:row>9</xdr:row>
      <xdr:rowOff>76200</xdr:rowOff>
    </xdr:to>
    <xdr:sp macro="" textlink="">
      <xdr:nvSpPr>
        <xdr:cNvPr id="8" name="Text Box 30"/>
        <xdr:cNvSpPr txBox="1">
          <a:spLocks noChangeArrowheads="1"/>
        </xdr:cNvSpPr>
      </xdr:nvSpPr>
      <xdr:spPr bwMode="auto">
        <a:xfrm>
          <a:off x="4953000" y="838200"/>
          <a:ext cx="76200" cy="238125"/>
        </a:xfrm>
        <a:prstGeom prst="rect">
          <a:avLst/>
        </a:prstGeom>
        <a:noFill/>
        <a:ln w="9525">
          <a:noFill/>
          <a:miter lim="800000"/>
          <a:headEnd/>
          <a:tailEnd/>
        </a:ln>
      </xdr:spPr>
    </xdr:sp>
    <xdr:clientData/>
  </xdr:twoCellAnchor>
  <xdr:twoCellAnchor editAs="oneCell">
    <xdr:from>
      <xdr:col>5</xdr:col>
      <xdr:colOff>0</xdr:colOff>
      <xdr:row>8</xdr:row>
      <xdr:rowOff>0</xdr:rowOff>
    </xdr:from>
    <xdr:to>
      <xdr:col>5</xdr:col>
      <xdr:colOff>76200</xdr:colOff>
      <xdr:row>9</xdr:row>
      <xdr:rowOff>76200</xdr:rowOff>
    </xdr:to>
    <xdr:sp macro="" textlink="">
      <xdr:nvSpPr>
        <xdr:cNvPr id="9" name="Text Box 30"/>
        <xdr:cNvSpPr txBox="1">
          <a:spLocks noChangeArrowheads="1"/>
        </xdr:cNvSpPr>
      </xdr:nvSpPr>
      <xdr:spPr bwMode="auto">
        <a:xfrm>
          <a:off x="4953000" y="838200"/>
          <a:ext cx="76200" cy="2381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0</xdr:rowOff>
    </xdr:to>
    <xdr:sp macro="" textlink="">
      <xdr:nvSpPr>
        <xdr:cNvPr id="10" name="Text Box 30"/>
        <xdr:cNvSpPr txBox="1">
          <a:spLocks noChangeArrowheads="1"/>
        </xdr:cNvSpPr>
      </xdr:nvSpPr>
      <xdr:spPr bwMode="auto">
        <a:xfrm>
          <a:off x="2543175" y="5210175"/>
          <a:ext cx="76200" cy="161925"/>
        </a:xfrm>
        <a:prstGeom prst="rect">
          <a:avLst/>
        </a:prstGeom>
        <a:noFill/>
        <a:ln w="9525">
          <a:noFill/>
          <a:miter lim="800000"/>
          <a:headEnd/>
          <a:tailEnd/>
        </a:ln>
      </xdr:spPr>
    </xdr:sp>
    <xdr:clientData/>
  </xdr:twoCellAnchor>
  <xdr:twoCellAnchor editAs="oneCell">
    <xdr:from>
      <xdr:col>4</xdr:col>
      <xdr:colOff>0</xdr:colOff>
      <xdr:row>37</xdr:row>
      <xdr:rowOff>0</xdr:rowOff>
    </xdr:from>
    <xdr:to>
      <xdr:col>4</xdr:col>
      <xdr:colOff>76200</xdr:colOff>
      <xdr:row>38</xdr:row>
      <xdr:rowOff>0</xdr:rowOff>
    </xdr:to>
    <xdr:sp macro="" textlink="">
      <xdr:nvSpPr>
        <xdr:cNvPr id="11" name="Text Box 30"/>
        <xdr:cNvSpPr txBox="1">
          <a:spLocks noChangeArrowheads="1"/>
        </xdr:cNvSpPr>
      </xdr:nvSpPr>
      <xdr:spPr bwMode="auto">
        <a:xfrm>
          <a:off x="4067175" y="5210175"/>
          <a:ext cx="76200" cy="1619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0</xdr:rowOff>
    </xdr:to>
    <xdr:sp macro="" textlink="">
      <xdr:nvSpPr>
        <xdr:cNvPr id="12" name="Text Box 30"/>
        <xdr:cNvSpPr txBox="1">
          <a:spLocks noChangeArrowheads="1"/>
        </xdr:cNvSpPr>
      </xdr:nvSpPr>
      <xdr:spPr bwMode="auto">
        <a:xfrm>
          <a:off x="2543175" y="5210175"/>
          <a:ext cx="76200" cy="161925"/>
        </a:xfrm>
        <a:prstGeom prst="rect">
          <a:avLst/>
        </a:prstGeom>
        <a:noFill/>
        <a:ln w="9525">
          <a:noFill/>
          <a:miter lim="800000"/>
          <a:headEnd/>
          <a:tailEnd/>
        </a:ln>
      </xdr:spPr>
    </xdr:sp>
    <xdr:clientData/>
  </xdr:twoCellAnchor>
  <xdr:twoCellAnchor editAs="oneCell">
    <xdr:from>
      <xdr:col>4</xdr:col>
      <xdr:colOff>0</xdr:colOff>
      <xdr:row>37</xdr:row>
      <xdr:rowOff>0</xdr:rowOff>
    </xdr:from>
    <xdr:to>
      <xdr:col>4</xdr:col>
      <xdr:colOff>76200</xdr:colOff>
      <xdr:row>38</xdr:row>
      <xdr:rowOff>0</xdr:rowOff>
    </xdr:to>
    <xdr:sp macro="" textlink="">
      <xdr:nvSpPr>
        <xdr:cNvPr id="13" name="Text Box 30"/>
        <xdr:cNvSpPr txBox="1">
          <a:spLocks noChangeArrowheads="1"/>
        </xdr:cNvSpPr>
      </xdr:nvSpPr>
      <xdr:spPr bwMode="auto">
        <a:xfrm>
          <a:off x="4067175" y="5210175"/>
          <a:ext cx="76200" cy="1619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0</xdr:rowOff>
    </xdr:to>
    <xdr:sp macro="" textlink="">
      <xdr:nvSpPr>
        <xdr:cNvPr id="14" name="Text Box 30"/>
        <xdr:cNvSpPr txBox="1">
          <a:spLocks noChangeArrowheads="1"/>
        </xdr:cNvSpPr>
      </xdr:nvSpPr>
      <xdr:spPr bwMode="auto">
        <a:xfrm>
          <a:off x="2543175" y="5210175"/>
          <a:ext cx="76200" cy="161925"/>
        </a:xfrm>
        <a:prstGeom prst="rect">
          <a:avLst/>
        </a:prstGeom>
        <a:noFill/>
        <a:ln w="9525">
          <a:noFill/>
          <a:miter lim="800000"/>
          <a:headEnd/>
          <a:tailEnd/>
        </a:ln>
      </xdr:spPr>
    </xdr:sp>
    <xdr:clientData/>
  </xdr:twoCellAnchor>
  <xdr:twoCellAnchor editAs="oneCell">
    <xdr:from>
      <xdr:col>2</xdr:col>
      <xdr:colOff>371475</xdr:colOff>
      <xdr:row>37</xdr:row>
      <xdr:rowOff>0</xdr:rowOff>
    </xdr:from>
    <xdr:to>
      <xdr:col>2</xdr:col>
      <xdr:colOff>447675</xdr:colOff>
      <xdr:row>38</xdr:row>
      <xdr:rowOff>0</xdr:rowOff>
    </xdr:to>
    <xdr:sp macro="" textlink="">
      <xdr:nvSpPr>
        <xdr:cNvPr id="15" name="Text Box 30"/>
        <xdr:cNvSpPr txBox="1">
          <a:spLocks noChangeArrowheads="1"/>
        </xdr:cNvSpPr>
      </xdr:nvSpPr>
      <xdr:spPr bwMode="auto">
        <a:xfrm>
          <a:off x="2914650" y="5210175"/>
          <a:ext cx="76200" cy="161925"/>
        </a:xfrm>
        <a:prstGeom prst="rect">
          <a:avLst/>
        </a:prstGeom>
        <a:noFill/>
        <a:ln w="9525">
          <a:noFill/>
          <a:miter lim="800000"/>
          <a:headEnd/>
          <a:tailEnd/>
        </a:ln>
      </xdr:spPr>
    </xdr:sp>
    <xdr:clientData/>
  </xdr:twoCellAnchor>
  <xdr:twoCellAnchor editAs="oneCell">
    <xdr:from>
      <xdr:col>4</xdr:col>
      <xdr:colOff>0</xdr:colOff>
      <xdr:row>37</xdr:row>
      <xdr:rowOff>0</xdr:rowOff>
    </xdr:from>
    <xdr:to>
      <xdr:col>4</xdr:col>
      <xdr:colOff>76200</xdr:colOff>
      <xdr:row>38</xdr:row>
      <xdr:rowOff>0</xdr:rowOff>
    </xdr:to>
    <xdr:sp macro="" textlink="">
      <xdr:nvSpPr>
        <xdr:cNvPr id="16" name="Text Box 30"/>
        <xdr:cNvSpPr txBox="1">
          <a:spLocks noChangeArrowheads="1"/>
        </xdr:cNvSpPr>
      </xdr:nvSpPr>
      <xdr:spPr bwMode="auto">
        <a:xfrm>
          <a:off x="4067175" y="5210175"/>
          <a:ext cx="76200" cy="1619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0</xdr:rowOff>
    </xdr:to>
    <xdr:sp macro="" textlink="">
      <xdr:nvSpPr>
        <xdr:cNvPr id="17" name="Text Box 30"/>
        <xdr:cNvSpPr txBox="1">
          <a:spLocks noChangeArrowheads="1"/>
        </xdr:cNvSpPr>
      </xdr:nvSpPr>
      <xdr:spPr bwMode="auto">
        <a:xfrm>
          <a:off x="2543175" y="5210175"/>
          <a:ext cx="76200" cy="161925"/>
        </a:xfrm>
        <a:prstGeom prst="rect">
          <a:avLst/>
        </a:prstGeom>
        <a:noFill/>
        <a:ln w="9525">
          <a:noFill/>
          <a:miter lim="800000"/>
          <a:headEnd/>
          <a:tailEnd/>
        </a:ln>
      </xdr:spPr>
    </xdr:sp>
    <xdr:clientData/>
  </xdr:twoCellAnchor>
  <xdr:twoCellAnchor editAs="oneCell">
    <xdr:from>
      <xdr:col>4</xdr:col>
      <xdr:colOff>0</xdr:colOff>
      <xdr:row>37</xdr:row>
      <xdr:rowOff>0</xdr:rowOff>
    </xdr:from>
    <xdr:to>
      <xdr:col>4</xdr:col>
      <xdr:colOff>76200</xdr:colOff>
      <xdr:row>38</xdr:row>
      <xdr:rowOff>0</xdr:rowOff>
    </xdr:to>
    <xdr:sp macro="" textlink="">
      <xdr:nvSpPr>
        <xdr:cNvPr id="18" name="Text Box 30"/>
        <xdr:cNvSpPr txBox="1">
          <a:spLocks noChangeArrowheads="1"/>
        </xdr:cNvSpPr>
      </xdr:nvSpPr>
      <xdr:spPr bwMode="auto">
        <a:xfrm>
          <a:off x="4067175" y="5210175"/>
          <a:ext cx="76200" cy="161925"/>
        </a:xfrm>
        <a:prstGeom prst="rect">
          <a:avLst/>
        </a:prstGeom>
        <a:noFill/>
        <a:ln w="9525">
          <a:noFill/>
          <a:miter lim="800000"/>
          <a:headEnd/>
          <a:tailEnd/>
        </a:ln>
      </xdr:spPr>
    </xdr:sp>
    <xdr:clientData/>
  </xdr:twoCellAnchor>
  <xdr:twoCellAnchor editAs="oneCell">
    <xdr:from>
      <xdr:col>4</xdr:col>
      <xdr:colOff>638175</xdr:colOff>
      <xdr:row>37</xdr:row>
      <xdr:rowOff>0</xdr:rowOff>
    </xdr:from>
    <xdr:to>
      <xdr:col>4</xdr:col>
      <xdr:colOff>714375</xdr:colOff>
      <xdr:row>37</xdr:row>
      <xdr:rowOff>61913</xdr:rowOff>
    </xdr:to>
    <xdr:sp macro="" textlink="">
      <xdr:nvSpPr>
        <xdr:cNvPr id="19" name="Text Box 30"/>
        <xdr:cNvSpPr txBox="1">
          <a:spLocks noChangeArrowheads="1"/>
        </xdr:cNvSpPr>
      </xdr:nvSpPr>
      <xdr:spPr bwMode="auto">
        <a:xfrm>
          <a:off x="4705350" y="5210175"/>
          <a:ext cx="76200" cy="61913"/>
        </a:xfrm>
        <a:prstGeom prst="rect">
          <a:avLst/>
        </a:prstGeom>
        <a:noFill/>
        <a:ln w="9525">
          <a:noFill/>
          <a:miter lim="800000"/>
          <a:headEnd/>
          <a:tailEnd/>
        </a:ln>
      </xdr:spPr>
    </xdr:sp>
    <xdr:clientData/>
  </xdr:twoCellAnchor>
  <xdr:twoCellAnchor editAs="oneCell">
    <xdr:from>
      <xdr:col>5</xdr:col>
      <xdr:colOff>0</xdr:colOff>
      <xdr:row>37</xdr:row>
      <xdr:rowOff>0</xdr:rowOff>
    </xdr:from>
    <xdr:to>
      <xdr:col>5</xdr:col>
      <xdr:colOff>76200</xdr:colOff>
      <xdr:row>38</xdr:row>
      <xdr:rowOff>76199</xdr:rowOff>
    </xdr:to>
    <xdr:sp macro="" textlink="">
      <xdr:nvSpPr>
        <xdr:cNvPr id="20" name="Text Box 30"/>
        <xdr:cNvSpPr txBox="1">
          <a:spLocks noChangeArrowheads="1"/>
        </xdr:cNvSpPr>
      </xdr:nvSpPr>
      <xdr:spPr bwMode="auto">
        <a:xfrm>
          <a:off x="4886325" y="5210175"/>
          <a:ext cx="76200" cy="238124"/>
        </a:xfrm>
        <a:prstGeom prst="rect">
          <a:avLst/>
        </a:prstGeom>
        <a:noFill/>
        <a:ln w="9525">
          <a:noFill/>
          <a:miter lim="800000"/>
          <a:headEnd/>
          <a:tailEnd/>
        </a:ln>
      </xdr:spPr>
    </xdr:sp>
    <xdr:clientData/>
  </xdr:twoCellAnchor>
  <xdr:twoCellAnchor editAs="oneCell">
    <xdr:from>
      <xdr:col>5</xdr:col>
      <xdr:colOff>0</xdr:colOff>
      <xdr:row>37</xdr:row>
      <xdr:rowOff>0</xdr:rowOff>
    </xdr:from>
    <xdr:to>
      <xdr:col>5</xdr:col>
      <xdr:colOff>76200</xdr:colOff>
      <xdr:row>38</xdr:row>
      <xdr:rowOff>76199</xdr:rowOff>
    </xdr:to>
    <xdr:sp macro="" textlink="">
      <xdr:nvSpPr>
        <xdr:cNvPr id="21" name="Text Box 30"/>
        <xdr:cNvSpPr txBox="1">
          <a:spLocks noChangeArrowheads="1"/>
        </xdr:cNvSpPr>
      </xdr:nvSpPr>
      <xdr:spPr bwMode="auto">
        <a:xfrm>
          <a:off x="4886325" y="5210175"/>
          <a:ext cx="76200" cy="238124"/>
        </a:xfrm>
        <a:prstGeom prst="rect">
          <a:avLst/>
        </a:prstGeom>
        <a:noFill/>
        <a:ln w="9525">
          <a:noFill/>
          <a:miter lim="800000"/>
          <a:headEnd/>
          <a:tailEnd/>
        </a:ln>
      </xdr:spPr>
    </xdr:sp>
    <xdr:clientData/>
  </xdr:twoCellAnchor>
  <xdr:twoCellAnchor editAs="oneCell">
    <xdr:from>
      <xdr:col>5</xdr:col>
      <xdr:colOff>0</xdr:colOff>
      <xdr:row>37</xdr:row>
      <xdr:rowOff>0</xdr:rowOff>
    </xdr:from>
    <xdr:to>
      <xdr:col>5</xdr:col>
      <xdr:colOff>76200</xdr:colOff>
      <xdr:row>38</xdr:row>
      <xdr:rowOff>76199</xdr:rowOff>
    </xdr:to>
    <xdr:sp macro="" textlink="">
      <xdr:nvSpPr>
        <xdr:cNvPr id="22" name="Text Box 30"/>
        <xdr:cNvSpPr txBox="1">
          <a:spLocks noChangeArrowheads="1"/>
        </xdr:cNvSpPr>
      </xdr:nvSpPr>
      <xdr:spPr bwMode="auto">
        <a:xfrm>
          <a:off x="4886325" y="5210175"/>
          <a:ext cx="76200" cy="238124"/>
        </a:xfrm>
        <a:prstGeom prst="rect">
          <a:avLst/>
        </a:prstGeom>
        <a:noFill/>
        <a:ln w="9525">
          <a:noFill/>
          <a:miter lim="800000"/>
          <a:headEnd/>
          <a:tailEnd/>
        </a:ln>
      </xdr:spPr>
    </xdr:sp>
    <xdr:clientData/>
  </xdr:twoCellAnchor>
  <xdr:twoCellAnchor editAs="oneCell">
    <xdr:from>
      <xdr:col>5</xdr:col>
      <xdr:colOff>0</xdr:colOff>
      <xdr:row>37</xdr:row>
      <xdr:rowOff>0</xdr:rowOff>
    </xdr:from>
    <xdr:to>
      <xdr:col>5</xdr:col>
      <xdr:colOff>76200</xdr:colOff>
      <xdr:row>38</xdr:row>
      <xdr:rowOff>76199</xdr:rowOff>
    </xdr:to>
    <xdr:sp macro="" textlink="">
      <xdr:nvSpPr>
        <xdr:cNvPr id="23" name="Text Box 30"/>
        <xdr:cNvSpPr txBox="1">
          <a:spLocks noChangeArrowheads="1"/>
        </xdr:cNvSpPr>
      </xdr:nvSpPr>
      <xdr:spPr bwMode="auto">
        <a:xfrm>
          <a:off x="4886325" y="5210175"/>
          <a:ext cx="76200" cy="238124"/>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5</xdr:col>
      <xdr:colOff>76200</xdr:colOff>
      <xdr:row>4</xdr:row>
      <xdr:rowOff>76200</xdr:rowOff>
    </xdr:to>
    <xdr:sp macro="" textlink="">
      <xdr:nvSpPr>
        <xdr:cNvPr id="2" name="Text Box 30"/>
        <xdr:cNvSpPr txBox="1">
          <a:spLocks noChangeArrowheads="1"/>
        </xdr:cNvSpPr>
      </xdr:nvSpPr>
      <xdr:spPr bwMode="auto">
        <a:xfrm>
          <a:off x="4953000" y="485775"/>
          <a:ext cx="76200" cy="238125"/>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4</xdr:row>
      <xdr:rowOff>76200</xdr:rowOff>
    </xdr:to>
    <xdr:sp macro="" textlink="">
      <xdr:nvSpPr>
        <xdr:cNvPr id="3" name="Text Box 30"/>
        <xdr:cNvSpPr txBox="1">
          <a:spLocks noChangeArrowheads="1"/>
        </xdr:cNvSpPr>
      </xdr:nvSpPr>
      <xdr:spPr bwMode="auto">
        <a:xfrm>
          <a:off x="4953000" y="485775"/>
          <a:ext cx="76200" cy="238125"/>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4</xdr:row>
      <xdr:rowOff>76200</xdr:rowOff>
    </xdr:to>
    <xdr:sp macro="" textlink="">
      <xdr:nvSpPr>
        <xdr:cNvPr id="4" name="Text Box 30"/>
        <xdr:cNvSpPr txBox="1">
          <a:spLocks noChangeArrowheads="1"/>
        </xdr:cNvSpPr>
      </xdr:nvSpPr>
      <xdr:spPr bwMode="auto">
        <a:xfrm>
          <a:off x="4953000" y="485775"/>
          <a:ext cx="76200" cy="238125"/>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4</xdr:row>
      <xdr:rowOff>76200</xdr:rowOff>
    </xdr:to>
    <xdr:sp macro="" textlink="">
      <xdr:nvSpPr>
        <xdr:cNvPr id="5" name="Text Box 30"/>
        <xdr:cNvSpPr txBox="1">
          <a:spLocks noChangeArrowheads="1"/>
        </xdr:cNvSpPr>
      </xdr:nvSpPr>
      <xdr:spPr bwMode="auto">
        <a:xfrm>
          <a:off x="4953000" y="485775"/>
          <a:ext cx="76200" cy="2381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P_Finan%20201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CURSOS\PROGRAMA\CORTO%20PLAZO\GESFINCOR\2017\GESFINCOR%20201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FINCOR/2017/GESFINCOR%202017.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os Historicos"/>
      <sheetName val="Datos Previsiones"/>
      <sheetName val="P y G"/>
      <sheetName val="Tesorería"/>
      <sheetName val="Balance"/>
      <sheetName val="Financiación corto"/>
      <sheetName val="Pago compras"/>
      <sheetName val="Gtos de personal"/>
      <sheetName val="FMO"/>
      <sheetName val="Hoja2"/>
    </sheetNames>
    <sheetDataSet>
      <sheetData sheetId="0"/>
      <sheetData sheetId="1">
        <row r="32">
          <cell r="O32">
            <v>6975</v>
          </cell>
        </row>
        <row r="33">
          <cell r="O33">
            <v>2850</v>
          </cell>
        </row>
        <row r="34">
          <cell r="O34">
            <v>1550</v>
          </cell>
        </row>
        <row r="35">
          <cell r="O35">
            <v>209.25</v>
          </cell>
        </row>
        <row r="36">
          <cell r="O36">
            <v>86.320000000000007</v>
          </cell>
        </row>
        <row r="37">
          <cell r="O37">
            <v>144</v>
          </cell>
        </row>
        <row r="38">
          <cell r="O38">
            <v>22.32</v>
          </cell>
        </row>
        <row r="39">
          <cell r="O39">
            <v>74.400000000000006</v>
          </cell>
        </row>
        <row r="40">
          <cell r="O40">
            <v>84.7</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 Control"/>
      <sheetName val="Desv. Balan"/>
      <sheetName val="Desv. Tesor."/>
      <sheetName val="Desv. P y G"/>
      <sheetName val="Desv. ventas"/>
      <sheetName val="Tesor. R."/>
      <sheetName val="Bal. R."/>
      <sheetName val="P y G R."/>
      <sheetName val="Vtas R."/>
      <sheetName val="Presentación"/>
      <sheetName val="D. Históricos"/>
      <sheetName val="Explotación"/>
      <sheetName val="Vts A"/>
      <sheetName val="Vtas mens"/>
      <sheetName val="I-C TOTAL"/>
      <sheetName val="Compras"/>
      <sheetName val="Cobros y pagos"/>
      <sheetName val="Inver"/>
      <sheetName val="Previsiones"/>
      <sheetName val="G personal "/>
      <sheetName val="G personal 1"/>
      <sheetName val="G personal 2"/>
      <sheetName val="Finan"/>
      <sheetName val="FINAN DEVOL"/>
      <sheetName val="Finan 1"/>
      <sheetName val="Finan 2"/>
      <sheetName val="P y G"/>
      <sheetName val="Tesor"/>
      <sheetName val="Balance"/>
      <sheetName val="Simul"/>
      <sheetName val="Prést"/>
      <sheetName val="I.S.-IVA"/>
      <sheetName val="GESFINCOR 2017.1"/>
    </sheetNames>
    <definedNames>
      <definedName name="gastos"/>
      <definedName name="Present"/>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1">
          <cell r="A91">
            <v>8269.93</v>
          </cell>
          <cell r="B91">
            <v>0</v>
          </cell>
        </row>
        <row r="92">
          <cell r="A92">
            <v>8269.93</v>
          </cell>
          <cell r="B92">
            <v>1</v>
          </cell>
        </row>
        <row r="93">
          <cell r="A93">
            <v>8726.7000000000007</v>
          </cell>
          <cell r="B93">
            <v>2</v>
          </cell>
        </row>
        <row r="94">
          <cell r="A94">
            <v>9237.56</v>
          </cell>
          <cell r="B94">
            <v>3</v>
          </cell>
        </row>
        <row r="95">
          <cell r="A95">
            <v>9808.52</v>
          </cell>
          <cell r="B95">
            <v>4</v>
          </cell>
        </row>
        <row r="96">
          <cell r="A96">
            <v>10457.620000000001</v>
          </cell>
          <cell r="B96">
            <v>5</v>
          </cell>
        </row>
        <row r="97">
          <cell r="A97">
            <v>11082.67</v>
          </cell>
          <cell r="B97">
            <v>6</v>
          </cell>
        </row>
        <row r="98">
          <cell r="A98">
            <v>11581.51</v>
          </cell>
          <cell r="B98">
            <v>7</v>
          </cell>
        </row>
        <row r="99">
          <cell r="A99">
            <v>12128.43</v>
          </cell>
          <cell r="B99">
            <v>8</v>
          </cell>
        </row>
        <row r="100">
          <cell r="A100">
            <v>12723.43</v>
          </cell>
          <cell r="B100">
            <v>9</v>
          </cell>
        </row>
        <row r="101">
          <cell r="A101">
            <v>13384.55</v>
          </cell>
          <cell r="B101">
            <v>10</v>
          </cell>
        </row>
        <row r="102">
          <cell r="A102">
            <v>14117.78</v>
          </cell>
          <cell r="B102">
            <v>11</v>
          </cell>
        </row>
        <row r="103">
          <cell r="A103">
            <v>14935.16</v>
          </cell>
          <cell r="B103">
            <v>12</v>
          </cell>
        </row>
        <row r="104">
          <cell r="A104">
            <v>15854.71</v>
          </cell>
          <cell r="B104">
            <v>13</v>
          </cell>
        </row>
        <row r="105">
          <cell r="A105">
            <v>17327.189999999999</v>
          </cell>
          <cell r="B105">
            <v>14</v>
          </cell>
        </row>
        <row r="106">
          <cell r="A106">
            <v>20308.21</v>
          </cell>
          <cell r="B106">
            <v>15</v>
          </cell>
        </row>
        <row r="107">
          <cell r="A107">
            <v>22604.07</v>
          </cell>
          <cell r="B107">
            <v>16</v>
          </cell>
        </row>
        <row r="108">
          <cell r="A108">
            <v>24611.45</v>
          </cell>
          <cell r="B108">
            <v>17</v>
          </cell>
        </row>
        <row r="109">
          <cell r="A109">
            <v>27021.51</v>
          </cell>
          <cell r="B109">
            <v>18</v>
          </cell>
        </row>
        <row r="110">
          <cell r="A110">
            <v>29954.45</v>
          </cell>
          <cell r="B110">
            <v>19</v>
          </cell>
        </row>
        <row r="111">
          <cell r="A111">
            <v>33614.61</v>
          </cell>
          <cell r="B111">
            <v>20</v>
          </cell>
        </row>
        <row r="112">
          <cell r="A112">
            <v>37256.75</v>
          </cell>
          <cell r="B112">
            <v>21</v>
          </cell>
        </row>
        <row r="113">
          <cell r="A113">
            <v>39931.25</v>
          </cell>
          <cell r="B113">
            <v>22</v>
          </cell>
        </row>
        <row r="114">
          <cell r="A114">
            <v>42593.73</v>
          </cell>
          <cell r="B114">
            <v>23</v>
          </cell>
        </row>
        <row r="115">
          <cell r="A115">
            <v>45646.879999999997</v>
          </cell>
          <cell r="B115">
            <v>24</v>
          </cell>
        </row>
        <row r="116">
          <cell r="A116">
            <v>49168.81</v>
          </cell>
          <cell r="B116">
            <v>25</v>
          </cell>
        </row>
        <row r="117">
          <cell r="A117">
            <v>52143.82</v>
          </cell>
          <cell r="B117">
            <v>26</v>
          </cell>
        </row>
        <row r="118">
          <cell r="A118">
            <v>55233.02</v>
          </cell>
          <cell r="B118">
            <v>27</v>
          </cell>
        </row>
        <row r="119">
          <cell r="A119">
            <v>58724.9</v>
          </cell>
          <cell r="B119">
            <v>28</v>
          </cell>
        </row>
        <row r="120">
          <cell r="A120">
            <v>62685.57</v>
          </cell>
          <cell r="B120">
            <v>29</v>
          </cell>
        </row>
        <row r="121">
          <cell r="A121">
            <v>67235.23</v>
          </cell>
          <cell r="B121">
            <v>30</v>
          </cell>
        </row>
        <row r="122">
          <cell r="A122">
            <v>72500.100000000006</v>
          </cell>
          <cell r="B122">
            <v>31</v>
          </cell>
        </row>
        <row r="123">
          <cell r="A123">
            <v>77470.47</v>
          </cell>
          <cell r="B123">
            <v>32</v>
          </cell>
        </row>
        <row r="124">
          <cell r="A124">
            <v>82134.320000000007</v>
          </cell>
          <cell r="B124">
            <v>33</v>
          </cell>
        </row>
        <row r="125">
          <cell r="A125">
            <v>87399.19</v>
          </cell>
          <cell r="B125">
            <v>34</v>
          </cell>
        </row>
        <row r="126">
          <cell r="A126">
            <v>93343.2</v>
          </cell>
          <cell r="B126">
            <v>35</v>
          </cell>
        </row>
        <row r="127">
          <cell r="A127">
            <v>99858.17</v>
          </cell>
          <cell r="B127">
            <v>36</v>
          </cell>
        </row>
        <row r="128">
          <cell r="A128">
            <v>107348.78</v>
          </cell>
          <cell r="B128">
            <v>37</v>
          </cell>
        </row>
        <row r="129">
          <cell r="A129">
            <v>115941.25</v>
          </cell>
          <cell r="B129">
            <v>38</v>
          </cell>
        </row>
        <row r="130">
          <cell r="A130">
            <v>126026.23</v>
          </cell>
          <cell r="B130">
            <v>39</v>
          </cell>
        </row>
        <row r="131">
          <cell r="A131">
            <v>138028.45000000001</v>
          </cell>
          <cell r="B131">
            <v>40</v>
          </cell>
        </row>
      </sheetData>
      <sheetData sheetId="22"/>
      <sheetData sheetId="23"/>
      <sheetData sheetId="24"/>
      <sheetData sheetId="25"/>
      <sheetData sheetId="26"/>
      <sheetData sheetId="27"/>
      <sheetData sheetId="28"/>
      <sheetData sheetId="29">
        <row r="7">
          <cell r="D7" t="str">
            <v>ESCENARIO NORMAL</v>
          </cell>
        </row>
      </sheetData>
      <sheetData sheetId="30"/>
      <sheetData sheetId="31"/>
      <sheetData sheetId="3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 Control"/>
      <sheetName val="Desv. Balan"/>
      <sheetName val="Desv. Tesor."/>
      <sheetName val="Desv. P y G"/>
      <sheetName val="Desv. ventas"/>
      <sheetName val="Tesor. R."/>
      <sheetName val="Bal. R."/>
      <sheetName val="P y G R."/>
      <sheetName val="Vtas R."/>
      <sheetName val="Presentación"/>
      <sheetName val="D. Históricos"/>
      <sheetName val="Explotación"/>
      <sheetName val="Vts A"/>
      <sheetName val="Vtas mens"/>
      <sheetName val="I-C TOTAL"/>
      <sheetName val="Compras"/>
      <sheetName val="Cobros y pagos"/>
      <sheetName val="Inver"/>
      <sheetName val="Previsiones"/>
      <sheetName val="G personal "/>
      <sheetName val="G personal 1"/>
      <sheetName val="G personal 2"/>
      <sheetName val="Finan"/>
      <sheetName val="FINAN DEVOL"/>
      <sheetName val="Finan 1"/>
      <sheetName val="Finan 2"/>
      <sheetName val="P y G"/>
      <sheetName val="Tesor"/>
      <sheetName val="Balance"/>
      <sheetName val="Simul"/>
      <sheetName val="Prést"/>
      <sheetName val="I.S.-IV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C2" t="str">
            <v>ENERO</v>
          </cell>
          <cell r="D2" t="str">
            <v>FEBR</v>
          </cell>
          <cell r="E2" t="str">
            <v>MAR</v>
          </cell>
          <cell r="F2" t="str">
            <v>ABRIL</v>
          </cell>
          <cell r="G2" t="str">
            <v>MAYO</v>
          </cell>
          <cell r="H2" t="str">
            <v>JUNIO</v>
          </cell>
          <cell r="I2" t="str">
            <v>JULIO</v>
          </cell>
          <cell r="J2" t="str">
            <v>AGOS</v>
          </cell>
          <cell r="K2" t="str">
            <v>SEPT</v>
          </cell>
          <cell r="L2" t="str">
            <v>OCT</v>
          </cell>
          <cell r="M2" t="str">
            <v>NOV</v>
          </cell>
          <cell r="N2" t="str">
            <v>DIC</v>
          </cell>
        </row>
      </sheetData>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2:F46"/>
  <sheetViews>
    <sheetView showGridLines="0" workbookViewId="0">
      <selection activeCell="D39" sqref="D39"/>
    </sheetView>
  </sheetViews>
  <sheetFormatPr baseColWidth="10" defaultRowHeight="11.25"/>
  <cols>
    <col min="1" max="1" width="11.42578125" style="104"/>
    <col min="2" max="2" width="36" style="104" customWidth="1"/>
    <col min="3" max="3" width="11.42578125" style="104"/>
    <col min="4" max="4" width="3.5703125" style="104" customWidth="1"/>
    <col min="5" max="5" width="35" style="104" customWidth="1"/>
    <col min="6" max="6" width="11.42578125" style="104"/>
    <col min="7" max="7" width="3" style="104" customWidth="1"/>
    <col min="8" max="16384" width="11.42578125" style="104"/>
  </cols>
  <sheetData>
    <row r="2" spans="2:6" ht="12" thickBot="1">
      <c r="B2" s="102" t="s">
        <v>33</v>
      </c>
      <c r="C2" s="103"/>
    </row>
    <row r="3" spans="2:6" ht="12" thickBot="1">
      <c r="B3" s="187" t="s">
        <v>0</v>
      </c>
      <c r="C3" s="105" t="s">
        <v>206</v>
      </c>
      <c r="E3" s="49" t="s">
        <v>71</v>
      </c>
      <c r="F3" s="105" t="s">
        <v>206</v>
      </c>
    </row>
    <row r="4" spans="2:6">
      <c r="B4" s="188" t="s">
        <v>87</v>
      </c>
      <c r="C4" s="64">
        <v>6490</v>
      </c>
      <c r="D4" s="190"/>
      <c r="E4" s="55" t="s">
        <v>72</v>
      </c>
      <c r="F4" s="63">
        <v>3320</v>
      </c>
    </row>
    <row r="5" spans="2:6">
      <c r="B5" s="188" t="s">
        <v>64</v>
      </c>
      <c r="C5" s="64">
        <v>-1100</v>
      </c>
      <c r="D5" s="190"/>
      <c r="E5" s="56" t="s">
        <v>73</v>
      </c>
      <c r="F5" s="64">
        <v>1778</v>
      </c>
    </row>
    <row r="6" spans="2:6">
      <c r="B6" s="188" t="s">
        <v>65</v>
      </c>
      <c r="C6" s="64">
        <v>250</v>
      </c>
      <c r="D6" s="190"/>
      <c r="E6" s="56" t="s">
        <v>74</v>
      </c>
      <c r="F6" s="64">
        <v>133</v>
      </c>
    </row>
    <row r="7" spans="2:6">
      <c r="B7" s="188" t="s">
        <v>66</v>
      </c>
      <c r="C7" s="64">
        <v>234</v>
      </c>
      <c r="D7" s="190"/>
      <c r="E7" s="56" t="s">
        <v>75</v>
      </c>
      <c r="F7" s="64">
        <v>0</v>
      </c>
    </row>
    <row r="8" spans="2:6">
      <c r="B8" s="188" t="s">
        <v>67</v>
      </c>
      <c r="C8" s="64">
        <v>360</v>
      </c>
      <c r="D8" s="190"/>
      <c r="E8" s="56" t="s">
        <v>76</v>
      </c>
      <c r="F8" s="325">
        <f>+Prestamos!B7-Prestamos!B15+Prestamos!B26-Prestamos!B34</f>
        <v>927.44283944812742</v>
      </c>
    </row>
    <row r="9" spans="2:6">
      <c r="B9" s="188" t="s">
        <v>68</v>
      </c>
      <c r="C9" s="64">
        <v>525</v>
      </c>
      <c r="D9" s="190"/>
      <c r="E9" s="56" t="s">
        <v>311</v>
      </c>
      <c r="F9" s="325">
        <f>+Prestamos!B15</f>
        <v>272.55716055187253</v>
      </c>
    </row>
    <row r="10" spans="2:6">
      <c r="B10" s="189" t="s">
        <v>86</v>
      </c>
      <c r="C10" s="64">
        <v>0</v>
      </c>
      <c r="D10" s="190"/>
      <c r="E10" s="56" t="s">
        <v>77</v>
      </c>
      <c r="F10" s="64">
        <f>+Prestamos!B46</f>
        <v>0</v>
      </c>
    </row>
    <row r="11" spans="2:6">
      <c r="B11" s="188" t="s">
        <v>69</v>
      </c>
      <c r="C11" s="64">
        <v>315</v>
      </c>
      <c r="D11" s="190"/>
      <c r="E11" s="56" t="s">
        <v>78</v>
      </c>
      <c r="F11" s="64">
        <v>0</v>
      </c>
    </row>
    <row r="12" spans="2:6">
      <c r="B12" s="106"/>
      <c r="C12" s="191"/>
      <c r="D12" s="190"/>
      <c r="E12" s="56" t="s">
        <v>79</v>
      </c>
      <c r="F12" s="64">
        <v>287</v>
      </c>
    </row>
    <row r="13" spans="2:6">
      <c r="B13" s="106"/>
      <c r="C13" s="191"/>
      <c r="D13" s="190"/>
      <c r="E13" s="56" t="s">
        <v>83</v>
      </c>
      <c r="F13" s="64">
        <v>118</v>
      </c>
    </row>
    <row r="14" spans="2:6">
      <c r="B14" s="106"/>
      <c r="C14" s="191"/>
      <c r="D14" s="190"/>
      <c r="E14" s="56" t="s">
        <v>84</v>
      </c>
      <c r="F14" s="64">
        <v>69</v>
      </c>
    </row>
    <row r="15" spans="2:6">
      <c r="B15" s="106"/>
      <c r="C15" s="191"/>
      <c r="D15" s="190"/>
      <c r="E15" s="56" t="s">
        <v>85</v>
      </c>
      <c r="F15" s="64">
        <v>20</v>
      </c>
    </row>
    <row r="16" spans="2:6">
      <c r="B16" s="106"/>
      <c r="C16" s="191"/>
      <c r="D16" s="190"/>
      <c r="E16" s="56" t="s">
        <v>292</v>
      </c>
      <c r="F16" s="64">
        <v>0</v>
      </c>
    </row>
    <row r="17" spans="2:6">
      <c r="B17" s="106"/>
      <c r="C17" s="191"/>
      <c r="D17" s="190"/>
      <c r="E17" s="56" t="s">
        <v>80</v>
      </c>
      <c r="F17" s="64">
        <v>49</v>
      </c>
    </row>
    <row r="18" spans="2:6" ht="12" thickBot="1">
      <c r="B18" s="106"/>
      <c r="C18" s="191"/>
      <c r="D18" s="190"/>
      <c r="E18" s="56" t="s">
        <v>82</v>
      </c>
      <c r="F18" s="194">
        <v>0</v>
      </c>
    </row>
    <row r="19" spans="2:6" ht="12" thickBot="1">
      <c r="B19" s="107"/>
      <c r="C19" s="192"/>
      <c r="E19" s="193" t="s">
        <v>81</v>
      </c>
      <c r="F19" s="194">
        <v>100</v>
      </c>
    </row>
    <row r="20" spans="2:6" ht="12" thickBot="1">
      <c r="B20" s="108" t="s">
        <v>70</v>
      </c>
      <c r="C20" s="194">
        <f>SUM(C4:C19)</f>
        <v>7074</v>
      </c>
      <c r="E20" s="72" t="s">
        <v>70</v>
      </c>
      <c r="F20" s="194">
        <f>SUM(F4:F19)</f>
        <v>7074</v>
      </c>
    </row>
    <row r="21" spans="2:6">
      <c r="B21" s="54"/>
      <c r="C21" s="109"/>
    </row>
    <row r="46" spans="2:2">
      <c r="B46" s="11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7:N20"/>
  <sheetViews>
    <sheetView showGridLines="0" workbookViewId="0">
      <selection activeCell="O25" sqref="O25"/>
    </sheetView>
  </sheetViews>
  <sheetFormatPr baseColWidth="10" defaultRowHeight="12.75"/>
  <cols>
    <col min="1" max="1" width="36.5703125" customWidth="1"/>
  </cols>
  <sheetData>
    <row r="7" spans="1:14" s="176" customFormat="1" ht="25.5">
      <c r="B7" s="178" t="str">
        <f>+Balance!C4</f>
        <v>A. B</v>
      </c>
      <c r="C7" s="178" t="str">
        <f>+Balance!D4</f>
        <v>Enero</v>
      </c>
      <c r="D7" s="178" t="str">
        <f>+Balance!E4</f>
        <v>Febrero</v>
      </c>
      <c r="E7" s="178" t="str">
        <f>+Balance!F4</f>
        <v>Marzo</v>
      </c>
      <c r="F7" s="178" t="str">
        <f>+Balance!G4</f>
        <v>Abril</v>
      </c>
      <c r="G7" s="178" t="str">
        <f>+Balance!H4</f>
        <v>Mayo</v>
      </c>
      <c r="H7" s="178" t="str">
        <f>+Balance!I4</f>
        <v>Junio</v>
      </c>
      <c r="I7" s="178" t="str">
        <f>+Balance!J4</f>
        <v>Julio</v>
      </c>
      <c r="J7" s="178" t="str">
        <f>+Balance!K4</f>
        <v>Agosto</v>
      </c>
      <c r="K7" s="178" t="str">
        <f>+Balance!L4</f>
        <v>Septiembre</v>
      </c>
      <c r="L7" s="178" t="str">
        <f>+Balance!M4</f>
        <v>Octubre</v>
      </c>
      <c r="M7" s="178" t="str">
        <f>+Balance!N4</f>
        <v>Noviembre</v>
      </c>
      <c r="N7" s="178" t="str">
        <f>+Balance!O4</f>
        <v>Diciembre</v>
      </c>
    </row>
    <row r="8" spans="1:14" s="2" customFormat="1">
      <c r="A8" s="179" t="s">
        <v>193</v>
      </c>
      <c r="B8" s="4">
        <f>+Balance!C8+Balance!C9</f>
        <v>594</v>
      </c>
      <c r="C8" s="4">
        <f>+Balance!D8+Balance!D9</f>
        <v>1507.168458781362</v>
      </c>
      <c r="D8" s="4">
        <f>+Balance!E8+Balance!E9</f>
        <v>1507.168458781362</v>
      </c>
      <c r="E8" s="4">
        <f>+Balance!F8+Balance!F9</f>
        <v>1507.168458781362</v>
      </c>
      <c r="F8" s="4">
        <f>+Balance!G8+Balance!G9</f>
        <v>1507.168458781362</v>
      </c>
      <c r="G8" s="4">
        <f>+Balance!H8+Balance!H9</f>
        <v>1507.168458781362</v>
      </c>
      <c r="H8" s="4">
        <f>+Balance!I8+Balance!I9</f>
        <v>1507.168458781362</v>
      </c>
      <c r="I8" s="4">
        <f>+Balance!J8+Balance!J9</f>
        <v>1507.168458781362</v>
      </c>
      <c r="J8" s="4">
        <f>+Balance!K8+Balance!K9</f>
        <v>1507.168458781362</v>
      </c>
      <c r="K8" s="4">
        <f>+Balance!L8+Balance!L9</f>
        <v>1507.168458781362</v>
      </c>
      <c r="L8" s="4">
        <f>+Balance!M8+Balance!M9</f>
        <v>1507.168458781362</v>
      </c>
      <c r="M8" s="4">
        <f>+Balance!N8+Balance!N9</f>
        <v>1507.168458781362</v>
      </c>
      <c r="N8" s="4">
        <f>+Balance!O8+Balance!O9</f>
        <v>1507.168458781362</v>
      </c>
    </row>
    <row r="9" spans="1:14" s="2" customFormat="1">
      <c r="A9" s="180" t="s">
        <v>194</v>
      </c>
      <c r="B9" s="1">
        <f>+Balance!C10</f>
        <v>525</v>
      </c>
      <c r="C9" s="1">
        <f>+Balance!D10</f>
        <v>2079.5</v>
      </c>
      <c r="D9" s="1">
        <f>+Balance!E10</f>
        <v>2781.75</v>
      </c>
      <c r="E9" s="1">
        <f>+Balance!F10</f>
        <v>2631.75</v>
      </c>
      <c r="F9" s="1">
        <f>+Balance!G10</f>
        <v>2631.75</v>
      </c>
      <c r="G9" s="1">
        <f>+Balance!H10</f>
        <v>2631.75</v>
      </c>
      <c r="H9" s="1">
        <f>+Balance!I10</f>
        <v>2631.75</v>
      </c>
      <c r="I9" s="1">
        <f>+Balance!J10</f>
        <v>2631.75</v>
      </c>
      <c r="J9" s="1">
        <f>+Balance!K10</f>
        <v>2631.75</v>
      </c>
      <c r="K9" s="1">
        <f>+Balance!L10</f>
        <v>2631.75</v>
      </c>
      <c r="L9" s="1">
        <f>+Balance!M10</f>
        <v>2631.75</v>
      </c>
      <c r="M9" s="1">
        <f>+Balance!N10</f>
        <v>2631.75</v>
      </c>
      <c r="N9" s="1">
        <f>+Balance!O10</f>
        <v>2631.75</v>
      </c>
    </row>
    <row r="10" spans="1:14" s="2" customFormat="1">
      <c r="A10" s="179" t="s">
        <v>195</v>
      </c>
      <c r="B10" s="4">
        <f>+B8+B9</f>
        <v>1119</v>
      </c>
      <c r="C10" s="4">
        <f>+C8+C9</f>
        <v>3586.668458781362</v>
      </c>
      <c r="D10" s="4">
        <f>+D8+D9</f>
        <v>4288.9184587813616</v>
      </c>
      <c r="E10" s="4">
        <f>+E8+E9</f>
        <v>4138.9184587813616</v>
      </c>
      <c r="F10" s="4">
        <f>+F8+F9</f>
        <v>4138.9184587813616</v>
      </c>
      <c r="G10" s="4">
        <f>+G8+G9</f>
        <v>4138.9184587813616</v>
      </c>
      <c r="H10" s="4">
        <f>+H8+H9</f>
        <v>4138.9184587813616</v>
      </c>
      <c r="I10" s="4">
        <f>+I8+I9</f>
        <v>4138.9184587813616</v>
      </c>
      <c r="J10" s="4">
        <f>+J8+J9</f>
        <v>4138.9184587813616</v>
      </c>
      <c r="K10" s="4">
        <f>+K8+K9</f>
        <v>4138.9184587813616</v>
      </c>
      <c r="L10" s="4">
        <f>+L8+L9</f>
        <v>4138.9184587813616</v>
      </c>
      <c r="M10" s="4">
        <f>+M8+M9</f>
        <v>4138.9184587813616</v>
      </c>
      <c r="N10" s="4">
        <f>+N8+N9</f>
        <v>4138.9184587813616</v>
      </c>
    </row>
    <row r="11" spans="1:14" s="2" customFormat="1">
      <c r="A11" s="180" t="s">
        <v>196</v>
      </c>
      <c r="B11" s="4">
        <f>+Balance!C24</f>
        <v>287</v>
      </c>
      <c r="C11" s="4">
        <f>+Balance!D24</f>
        <v>2398.7151971326166</v>
      </c>
      <c r="D11" s="4">
        <f>+Balance!E24</f>
        <v>1193.7813620071684</v>
      </c>
      <c r="E11" s="4">
        <f>+Balance!F24</f>
        <v>1106.7813620071684</v>
      </c>
      <c r="F11" s="4">
        <f>+Balance!G24</f>
        <v>1106.7813620071684</v>
      </c>
      <c r="G11" s="4">
        <f>+Balance!H24</f>
        <v>1106.7813620071684</v>
      </c>
      <c r="H11" s="4">
        <f>+Balance!I24</f>
        <v>1106.7813620071684</v>
      </c>
      <c r="I11" s="4">
        <f>+Balance!J24</f>
        <v>1106.7813620071684</v>
      </c>
      <c r="J11" s="4">
        <f>+Balance!K24</f>
        <v>1106.7813620071684</v>
      </c>
      <c r="K11" s="4">
        <f>+Balance!L24</f>
        <v>1106.7813620071684</v>
      </c>
      <c r="L11" s="4">
        <f>+Balance!M24</f>
        <v>1106.7813620071684</v>
      </c>
      <c r="M11" s="4">
        <f>+Balance!N24</f>
        <v>1106.7813620071684</v>
      </c>
      <c r="N11" s="4">
        <f>+Balance!O24</f>
        <v>1106.7813620071684</v>
      </c>
    </row>
    <row r="12" spans="1:14" s="2" customFormat="1">
      <c r="A12" s="173" t="s">
        <v>197</v>
      </c>
      <c r="B12" s="7">
        <f>+B10-B11</f>
        <v>832</v>
      </c>
      <c r="C12" s="7">
        <f>+C10-C11</f>
        <v>1187.9532616487454</v>
      </c>
      <c r="D12" s="7">
        <f>+D10-D11</f>
        <v>3095.1370967741932</v>
      </c>
      <c r="E12" s="7">
        <f>+E10-E11</f>
        <v>3032.1370967741932</v>
      </c>
      <c r="F12" s="7">
        <f>+F10-F11</f>
        <v>3032.1370967741932</v>
      </c>
      <c r="G12" s="7">
        <f>+G10-G11</f>
        <v>3032.1370967741932</v>
      </c>
      <c r="H12" s="7">
        <f>+H10-H11</f>
        <v>3032.1370967741932</v>
      </c>
      <c r="I12" s="7">
        <f>+I10-I11</f>
        <v>3032.1370967741932</v>
      </c>
      <c r="J12" s="7">
        <f>+J10-J11</f>
        <v>3032.1370967741932</v>
      </c>
      <c r="K12" s="7">
        <f>+K10-K11</f>
        <v>3032.1370967741932</v>
      </c>
      <c r="L12" s="7">
        <f>+L10-L11</f>
        <v>3032.1370967741932</v>
      </c>
      <c r="M12" s="7">
        <f>+M10-M11</f>
        <v>3032.1370967741932</v>
      </c>
      <c r="N12" s="7">
        <f>+N10-N11</f>
        <v>3032.1370967741932</v>
      </c>
    </row>
    <row r="13" spans="1:14" s="2" customFormat="1">
      <c r="A13" s="179" t="s">
        <v>198</v>
      </c>
      <c r="B13" s="4">
        <f>+B14</f>
        <v>0</v>
      </c>
      <c r="C13" s="4">
        <f>+C14</f>
        <v>94.252470967741971</v>
      </c>
      <c r="D13" s="4">
        <f>+D14</f>
        <v>0</v>
      </c>
      <c r="E13" s="4">
        <f>+E14</f>
        <v>214.22666021505387</v>
      </c>
      <c r="F13" s="4">
        <f>+F14</f>
        <v>116.71375483870982</v>
      </c>
      <c r="G13" s="4">
        <f>+G14</f>
        <v>19.200849462365767</v>
      </c>
      <c r="H13" s="4">
        <f>+H14</f>
        <v>0</v>
      </c>
      <c r="I13" s="4">
        <f>+I14</f>
        <v>0</v>
      </c>
      <c r="J13" s="4">
        <f>+J14</f>
        <v>0</v>
      </c>
      <c r="K13" s="4">
        <f>+K14</f>
        <v>0</v>
      </c>
      <c r="L13" s="4">
        <f>+L14</f>
        <v>0</v>
      </c>
      <c r="M13" s="4">
        <f>+M14</f>
        <v>0</v>
      </c>
      <c r="N13" s="4">
        <f>+N14</f>
        <v>0</v>
      </c>
    </row>
    <row r="14" spans="1:14">
      <c r="A14" s="172" t="s">
        <v>199</v>
      </c>
      <c r="B14" s="177">
        <f>+Balance!C11</f>
        <v>0</v>
      </c>
      <c r="C14" s="177">
        <f>+Balance!D11</f>
        <v>94.252470967741971</v>
      </c>
      <c r="D14" s="177">
        <f>+Balance!E11</f>
        <v>0</v>
      </c>
      <c r="E14" s="177">
        <f>+Balance!F11</f>
        <v>214.22666021505387</v>
      </c>
      <c r="F14" s="177">
        <f>+Balance!G11</f>
        <v>116.71375483870982</v>
      </c>
      <c r="G14" s="177">
        <f>+Balance!H11</f>
        <v>19.200849462365767</v>
      </c>
      <c r="H14" s="177">
        <f>+Balance!I11</f>
        <v>0</v>
      </c>
      <c r="I14" s="177">
        <f>+Balance!J11</f>
        <v>0</v>
      </c>
      <c r="J14" s="177">
        <f>+Balance!K11</f>
        <v>0</v>
      </c>
      <c r="K14" s="177">
        <f>+Balance!L11</f>
        <v>0</v>
      </c>
      <c r="L14" s="177">
        <f>+Balance!M11</f>
        <v>0</v>
      </c>
      <c r="M14" s="177">
        <f>+Balance!N11</f>
        <v>0</v>
      </c>
      <c r="N14" s="177">
        <f>+Balance!O11</f>
        <v>0</v>
      </c>
    </row>
    <row r="15" spans="1:14" s="2" customFormat="1">
      <c r="A15" s="179" t="s">
        <v>200</v>
      </c>
      <c r="B15" s="4">
        <f>+B16+B17</f>
        <v>356</v>
      </c>
      <c r="C15" s="4">
        <f>+C16+C17</f>
        <v>518.50674386545359</v>
      </c>
      <c r="D15" s="4">
        <f>+D16+D17</f>
        <v>583.67392213950893</v>
      </c>
      <c r="E15" s="4">
        <f>+E16+E17</f>
        <v>643.32023159636049</v>
      </c>
      <c r="F15" s="4">
        <f>+F16+F17</f>
        <v>684.00503997794306</v>
      </c>
      <c r="G15" s="4">
        <f>+G16+G17</f>
        <v>724.68984835952563</v>
      </c>
      <c r="H15" s="4">
        <f>+H16+H17</f>
        <v>426.61632390405259</v>
      </c>
      <c r="I15" s="4">
        <f>+I16+I17</f>
        <v>476.00198174800096</v>
      </c>
      <c r="J15" s="4">
        <f>+J16+J17</f>
        <v>614.19969550592759</v>
      </c>
      <c r="K15" s="4">
        <f>+K16+K17</f>
        <v>752.39740926385423</v>
      </c>
      <c r="L15" s="4">
        <f>+L16+L17</f>
        <v>598.05640689274878</v>
      </c>
      <c r="M15" s="4">
        <f>+M16+M17</f>
        <v>736.25412065067542</v>
      </c>
      <c r="N15" s="4">
        <f>+N16+N17</f>
        <v>874.45183440860205</v>
      </c>
    </row>
    <row r="16" spans="1:14">
      <c r="A16" s="181" t="s">
        <v>201</v>
      </c>
      <c r="B16" s="177"/>
      <c r="C16" s="177"/>
      <c r="D16" s="177"/>
      <c r="E16" s="177"/>
      <c r="F16" s="177"/>
      <c r="G16" s="177"/>
      <c r="H16" s="177"/>
      <c r="I16" s="177"/>
      <c r="J16" s="177"/>
      <c r="K16" s="177"/>
      <c r="L16" s="177"/>
      <c r="M16" s="177"/>
      <c r="N16" s="177"/>
    </row>
    <row r="17" spans="1:14">
      <c r="A17" s="172" t="s">
        <v>202</v>
      </c>
      <c r="B17" s="177">
        <f>+Balance!C25+Balance!C26+Balance!C27+Balance!C28+Balance!C29+Balance!C31</f>
        <v>356</v>
      </c>
      <c r="C17" s="177">
        <f>+Balance!D25+Balance!D26+Balance!D27+Balance!D28+Balance!D29+Balance!D31</f>
        <v>518.50674386545359</v>
      </c>
      <c r="D17" s="177">
        <f>+Balance!E25+Balance!E26+Balance!E27+Balance!E28+Balance!E29+Balance!E31</f>
        <v>583.67392213950893</v>
      </c>
      <c r="E17" s="177">
        <f>+Balance!F25+Balance!F26+Balance!F27+Balance!F28+Balance!F29+Balance!F31</f>
        <v>643.32023159636049</v>
      </c>
      <c r="F17" s="177">
        <f>+Balance!G25+Balance!G26+Balance!G27+Balance!G28+Balance!G29+Balance!G31</f>
        <v>684.00503997794306</v>
      </c>
      <c r="G17" s="177">
        <f>+Balance!H25+Balance!H26+Balance!H27+Balance!H28+Balance!H29+Balance!H31</f>
        <v>724.68984835952563</v>
      </c>
      <c r="H17" s="177">
        <f>+Balance!I25+Balance!I26+Balance!I27+Balance!I28+Balance!I29+Balance!I31</f>
        <v>426.61632390405259</v>
      </c>
      <c r="I17" s="177">
        <f>+Balance!J25+Balance!J26+Balance!J27+Balance!J28+Balance!J29+Balance!J31</f>
        <v>476.00198174800096</v>
      </c>
      <c r="J17" s="177">
        <f>+Balance!K25+Balance!K26+Balance!K27+Balance!K28+Balance!K29+Balance!K31</f>
        <v>614.19969550592759</v>
      </c>
      <c r="K17" s="177">
        <f>+Balance!L25+Balance!L26+Balance!L27+Balance!L28+Balance!L29+Balance!L31</f>
        <v>752.39740926385423</v>
      </c>
      <c r="L17" s="177">
        <f>+Balance!M25+Balance!M26+Balance!M27+Balance!M28+Balance!M29+Balance!M31</f>
        <v>598.05640689274878</v>
      </c>
      <c r="M17" s="177">
        <f>+Balance!N25+Balance!N26+Balance!N27+Balance!N28+Balance!N29+Balance!N31</f>
        <v>736.25412065067542</v>
      </c>
      <c r="N17" s="177">
        <f>+Balance!O25+Balance!O26+Balance!O27+Balance!O28+Balance!O29+Balance!O31</f>
        <v>874.45183440860205</v>
      </c>
    </row>
    <row r="18" spans="1:14" s="2" customFormat="1">
      <c r="A18" s="174" t="s">
        <v>203</v>
      </c>
      <c r="B18" s="7">
        <f>+B12+B13-B15</f>
        <v>476</v>
      </c>
      <c r="C18" s="7">
        <f>+C12+C13-C15</f>
        <v>763.69898875103388</v>
      </c>
      <c r="D18" s="7">
        <f>+D12+D13-D15</f>
        <v>2511.463174634684</v>
      </c>
      <c r="E18" s="7">
        <f>+E12+E13-E15</f>
        <v>2603.0435253928867</v>
      </c>
      <c r="F18" s="7">
        <f>+F12+F13-F15</f>
        <v>2464.8458116349602</v>
      </c>
      <c r="G18" s="7">
        <f>+G12+G13-G15</f>
        <v>2326.6480978770333</v>
      </c>
      <c r="H18" s="7">
        <f>+H12+H13-H15</f>
        <v>2605.5207728701407</v>
      </c>
      <c r="I18" s="7">
        <f>+I12+I13-I15</f>
        <v>2556.1351150261921</v>
      </c>
      <c r="J18" s="7">
        <f>+J12+J13-J15</f>
        <v>2417.9374012682656</v>
      </c>
      <c r="K18" s="7">
        <f>+K12+K13-K15</f>
        <v>2279.7396875103391</v>
      </c>
      <c r="L18" s="7">
        <f>+L12+L13-L15</f>
        <v>2434.0806898814444</v>
      </c>
      <c r="M18" s="7">
        <f>+M12+M13-M15</f>
        <v>2295.8829761235179</v>
      </c>
      <c r="N18" s="7">
        <f>+N12+N13-N15</f>
        <v>2157.6852623655914</v>
      </c>
    </row>
    <row r="19" spans="1:14" s="2" customFormat="1">
      <c r="A19" s="175" t="s">
        <v>204</v>
      </c>
      <c r="B19" s="4">
        <f>+Balance!C12</f>
        <v>315</v>
      </c>
      <c r="C19" s="4">
        <f>+Balance!D12</f>
        <v>-104.48615610330364</v>
      </c>
      <c r="D19" s="4">
        <f>+Balance!E12</f>
        <v>-1984.0375093392247</v>
      </c>
      <c r="E19" s="4">
        <f>+Balance!F12</f>
        <v>-2707.4050274496967</v>
      </c>
      <c r="F19" s="4">
        <f>+Balance!G12</f>
        <v>-2700.9944810440402</v>
      </c>
      <c r="G19" s="4">
        <f>+Balance!H12</f>
        <v>-2694.5839346383837</v>
      </c>
      <c r="H19" s="4">
        <f>+Balance!I12</f>
        <v>-2130.2437769837607</v>
      </c>
      <c r="I19" s="4">
        <f>+Balance!J12</f>
        <v>-2212.6452864920825</v>
      </c>
      <c r="J19" s="4">
        <f>+Balance!K12</f>
        <v>-2206.2347400864255</v>
      </c>
      <c r="K19" s="4">
        <f>+Balance!L12</f>
        <v>-2199.824193680769</v>
      </c>
      <c r="L19" s="4">
        <f>+Balance!M12</f>
        <v>-2485.9523634041448</v>
      </c>
      <c r="M19" s="4">
        <f>+Balance!N12</f>
        <v>-2479.5418169984878</v>
      </c>
      <c r="N19" s="4">
        <f>+Balance!O12</f>
        <v>-2473.1312705928312</v>
      </c>
    </row>
    <row r="20" spans="1:14" s="2" customFormat="1">
      <c r="A20" s="174" t="s">
        <v>205</v>
      </c>
      <c r="B20" s="7">
        <f>+B18+B19</f>
        <v>791</v>
      </c>
      <c r="C20" s="7">
        <f>+C18+C19</f>
        <v>659.21283264773024</v>
      </c>
      <c r="D20" s="7">
        <f>+D18+D19</f>
        <v>527.42566529545934</v>
      </c>
      <c r="E20" s="7">
        <f>+E18+E19</f>
        <v>-104.36150205680997</v>
      </c>
      <c r="F20" s="7">
        <f>+F18+F19</f>
        <v>-236.14866940907996</v>
      </c>
      <c r="G20" s="7">
        <f>+G18+G19</f>
        <v>-367.9358367613504</v>
      </c>
      <c r="H20" s="7">
        <f>+H18+H19</f>
        <v>475.27699588638006</v>
      </c>
      <c r="I20" s="7">
        <f>+I18+I19</f>
        <v>343.48982853410962</v>
      </c>
      <c r="J20" s="7">
        <f>+J18+J19</f>
        <v>211.70266118184009</v>
      </c>
      <c r="K20" s="7">
        <f>+K18+K19</f>
        <v>79.915493829570096</v>
      </c>
      <c r="L20" s="7">
        <f>+L18+L19</f>
        <v>-51.871673522700348</v>
      </c>
      <c r="M20" s="7">
        <f>+M18+M19</f>
        <v>-183.65884087496988</v>
      </c>
      <c r="N20" s="7">
        <f>+N18+N19</f>
        <v>-315.44600822723987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B3:N10"/>
  <sheetViews>
    <sheetView workbookViewId="0">
      <selection activeCell="G17" sqref="G17"/>
    </sheetView>
  </sheetViews>
  <sheetFormatPr baseColWidth="10" defaultRowHeight="12.75"/>
  <cols>
    <col min="1" max="1" width="11.42578125" style="176"/>
    <col min="2" max="2" width="24.28515625" style="176" customWidth="1"/>
    <col min="3" max="16384" width="11.42578125" style="176"/>
  </cols>
  <sheetData>
    <row r="3" spans="2:14" ht="13.5" thickBot="1"/>
    <row r="4" spans="2:14">
      <c r="B4" s="360"/>
      <c r="C4" s="355" t="s">
        <v>1</v>
      </c>
      <c r="D4" s="345" t="s">
        <v>3</v>
      </c>
      <c r="E4" s="345" t="s">
        <v>4</v>
      </c>
      <c r="F4" s="345" t="s">
        <v>5</v>
      </c>
      <c r="G4" s="345" t="s">
        <v>6</v>
      </c>
      <c r="H4" s="345" t="s">
        <v>7</v>
      </c>
      <c r="I4" s="345" t="s">
        <v>8</v>
      </c>
      <c r="J4" s="345" t="s">
        <v>9</v>
      </c>
      <c r="K4" s="345" t="s">
        <v>10</v>
      </c>
      <c r="L4" s="345" t="s">
        <v>11</v>
      </c>
      <c r="M4" s="345" t="s">
        <v>12</v>
      </c>
      <c r="N4" s="346" t="s">
        <v>13</v>
      </c>
    </row>
    <row r="5" spans="2:14" s="341" customFormat="1">
      <c r="B5" s="361" t="s">
        <v>113</v>
      </c>
      <c r="C5" s="356">
        <f>+('P y G'!B3+'P y G'!B9-'P y G'!B10-'P y G'!B12-'P y G'!B28-'P y G'!B6)*'Datos Previsiones'!$C$41</f>
        <v>-94.252470967741971</v>
      </c>
      <c r="D5" s="343">
        <f>+('P y G'!C3+'P y G'!C9-'P y G'!C10-'P y G'!C12-'P y G'!C28-'P y G'!C6)*'Datos Previsiones'!$C$41</f>
        <v>97.512905376344051</v>
      </c>
      <c r="E5" s="343">
        <f>+('P y G'!D3+'P y G'!D9-'P y G'!D10-'P y G'!D12-'P y G'!D28-'P y G'!D6)*'Datos Previsiones'!$C$41</f>
        <v>97.512905376344051</v>
      </c>
      <c r="F5" s="343">
        <f>+('P y G'!E3+'P y G'!E9-'P y G'!E10-'P y G'!E12-'P y G'!E28-'P y G'!E6)*'Datos Previsiones'!$C$41</f>
        <v>97.512905376344051</v>
      </c>
      <c r="G5" s="343">
        <f>+('P y G'!F3+'P y G'!F9-'P y G'!F10-'P y G'!F12-'P y G'!F28-'P y G'!F6)*'Datos Previsiones'!$C$41</f>
        <v>97.512905376344051</v>
      </c>
      <c r="H5" s="343">
        <f>+('P y G'!G3+'P y G'!G9-'P y G'!G10-'P y G'!G12-'P y G'!G28-'P y G'!G6)*'Datos Previsiones'!$C$41</f>
        <v>97.512905376344051</v>
      </c>
      <c r="I5" s="343">
        <f>+('P y G'!H3+'P y G'!H9-'P y G'!H10-'P y G'!H12-'P y G'!H28-'P y G'!H6)*'Datos Previsiones'!$C$41</f>
        <v>97.512905376344051</v>
      </c>
      <c r="J5" s="343">
        <f>+('P y G'!I3+'P y G'!I9-'P y G'!I10-'P y G'!I12-'P y G'!I28-'P y G'!I6)*'Datos Previsiones'!$C$41</f>
        <v>97.512905376344051</v>
      </c>
      <c r="K5" s="343">
        <f>+('P y G'!J3+'P y G'!J9-'P y G'!J10-'P y G'!J12-'P y G'!J28-'P y G'!J6)*'Datos Previsiones'!$C$41</f>
        <v>97.512905376344051</v>
      </c>
      <c r="L5" s="343">
        <f>+('P y G'!K3+'P y G'!K9-'P y G'!K10-'P y G'!K12-'P y G'!K28-'P y G'!K6)*'Datos Previsiones'!$C$41</f>
        <v>97.512905376344051</v>
      </c>
      <c r="M5" s="343">
        <f>+('P y G'!L3+'P y G'!L9-'P y G'!L10-'P y G'!L12-'P y G'!L28-'P y G'!L6)*'Datos Previsiones'!$C$41</f>
        <v>97.512905376344051</v>
      </c>
      <c r="N5" s="347">
        <f>+('P y G'!M3+'P y G'!M9-'P y G'!M10-'P y G'!M12-'P y G'!M28-'P y G'!M6)*'Datos Previsiones'!$C$41</f>
        <v>97.512905376344051</v>
      </c>
    </row>
    <row r="6" spans="2:14" s="341" customFormat="1" ht="12" customHeight="1" thickBot="1">
      <c r="B6" s="361" t="s">
        <v>114</v>
      </c>
      <c r="C6" s="357">
        <f>+'Datos Previsiones'!$C$41*('Datos Previsiones'!C13-'Datos Previsiones'!C5)</f>
        <v>0</v>
      </c>
      <c r="D6" s="349">
        <f>+'Datos Previsiones'!$C$41*('Datos Previsiones'!D13-'Datos Previsiones'!D5)</f>
        <v>0</v>
      </c>
      <c r="E6" s="349">
        <f>+'Datos Previsiones'!$C$41*('Datos Previsiones'!E13-'Datos Previsiones'!E5)</f>
        <v>-315</v>
      </c>
      <c r="F6" s="349">
        <f>+'Datos Previsiones'!$C$41*('Datos Previsiones'!F13-'Datos Previsiones'!F5)</f>
        <v>0</v>
      </c>
      <c r="G6" s="349">
        <f>+'Datos Previsiones'!$C$41*('Datos Previsiones'!G13-'Datos Previsiones'!G5)</f>
        <v>0</v>
      </c>
      <c r="H6" s="349">
        <f>+'Datos Previsiones'!$C$41*('Datos Previsiones'!H13-'Datos Previsiones'!H5)</f>
        <v>10.5</v>
      </c>
      <c r="I6" s="349">
        <f>+'Datos Previsiones'!$C$41*('Datos Previsiones'!I13-'Datos Previsiones'!I5)</f>
        <v>0</v>
      </c>
      <c r="J6" s="349">
        <f>+'Datos Previsiones'!$C$41*('Datos Previsiones'!J13-'Datos Previsiones'!J5)</f>
        <v>0</v>
      </c>
      <c r="K6" s="349">
        <f>+'Datos Previsiones'!$C$41*('Datos Previsiones'!K13-'Datos Previsiones'!K5)</f>
        <v>0</v>
      </c>
      <c r="L6" s="349">
        <f>+'Datos Previsiones'!$C$41*('Datos Previsiones'!L13-'Datos Previsiones'!L5)</f>
        <v>0</v>
      </c>
      <c r="M6" s="349">
        <f>+'Datos Previsiones'!$C$41*('Datos Previsiones'!M13-'Datos Previsiones'!M5)</f>
        <v>0</v>
      </c>
      <c r="N6" s="350">
        <f>+'Datos Previsiones'!$C$41*('Datos Previsiones'!N13-'Datos Previsiones'!N5)</f>
        <v>0</v>
      </c>
    </row>
    <row r="7" spans="2:14" s="342" customFormat="1" ht="13.5" thickBot="1">
      <c r="B7" s="362" t="s">
        <v>312</v>
      </c>
      <c r="C7" s="358">
        <f>+C5+C6</f>
        <v>-94.252470967741971</v>
      </c>
      <c r="D7" s="351">
        <f>+D5+D6</f>
        <v>97.512905376344051</v>
      </c>
      <c r="E7" s="351">
        <f>+E5+E6</f>
        <v>-217.48709462365593</v>
      </c>
      <c r="F7" s="351">
        <f>+F5+F6</f>
        <v>97.512905376344051</v>
      </c>
      <c r="G7" s="351">
        <f>+G5+G6</f>
        <v>97.512905376344051</v>
      </c>
      <c r="H7" s="351">
        <f>+H5+H6</f>
        <v>108.01290537634405</v>
      </c>
      <c r="I7" s="351">
        <f>+I5+I6</f>
        <v>97.512905376344051</v>
      </c>
      <c r="J7" s="351">
        <f>+J5+J6</f>
        <v>97.512905376344051</v>
      </c>
      <c r="K7" s="351">
        <f>+K5+K6</f>
        <v>97.512905376344051</v>
      </c>
      <c r="L7" s="351">
        <f>+L5+L6</f>
        <v>97.512905376344051</v>
      </c>
      <c r="M7" s="351">
        <f>+M5+M6</f>
        <v>97.512905376344051</v>
      </c>
      <c r="N7" s="352">
        <f>+N5+N6</f>
        <v>97.512905376344051</v>
      </c>
    </row>
    <row r="8" spans="2:14" s="342" customFormat="1">
      <c r="B8" s="363" t="s">
        <v>313</v>
      </c>
      <c r="C8" s="359">
        <f>+C7</f>
        <v>-94.252470967741971</v>
      </c>
      <c r="D8" s="353">
        <f>+C8+D7</f>
        <v>3.2604344086020802</v>
      </c>
      <c r="E8" s="353">
        <f>+D8+E7</f>
        <v>-214.22666021505387</v>
      </c>
      <c r="F8" s="353">
        <f>+E8+F7-IF(F9&gt;0,F9,0)</f>
        <v>-116.71375483870982</v>
      </c>
      <c r="G8" s="353">
        <f>+F8+G7-IF(G9&gt;0,G9,0)</f>
        <v>-19.200849462365767</v>
      </c>
      <c r="H8" s="353">
        <f>+G8+H7-IF(H9&gt;0,H9,0)</f>
        <v>88.812055913978284</v>
      </c>
      <c r="I8" s="353">
        <f>+H8+I7-IF(I9&gt;0,I9,0)</f>
        <v>97.512905376344051</v>
      </c>
      <c r="J8" s="353">
        <f>+I8+J7-IF(J9&gt;0,J9,0)</f>
        <v>195.0258107526881</v>
      </c>
      <c r="K8" s="353">
        <f>+J8+K7-IF(K9&gt;0,K9,0)</f>
        <v>292.53871612903214</v>
      </c>
      <c r="L8" s="353">
        <f>+K8+L7-IF(L9&gt;0,L9,0)</f>
        <v>97.512905376344065</v>
      </c>
      <c r="M8" s="353">
        <f>+L8+M7-IF(M9&gt;0,M9,0)</f>
        <v>195.02581075268813</v>
      </c>
      <c r="N8" s="354">
        <f>+M8+N7-IF(N9&gt;0,N9,0)</f>
        <v>292.5387161290322</v>
      </c>
    </row>
    <row r="9" spans="2:14" s="342" customFormat="1">
      <c r="B9" s="364" t="s">
        <v>314</v>
      </c>
      <c r="C9" s="337"/>
      <c r="D9" s="337"/>
      <c r="E9" s="337"/>
      <c r="F9" s="344">
        <f>+IF(E8&lt;0,0,E8)</f>
        <v>0</v>
      </c>
      <c r="G9" s="337"/>
      <c r="H9" s="337"/>
      <c r="I9" s="344">
        <f>+IF(H8&lt;0,0,H8)</f>
        <v>88.812055913978284</v>
      </c>
      <c r="J9" s="337"/>
      <c r="K9" s="337"/>
      <c r="L9" s="344">
        <f>+IF(K8&lt;0,0,K8)</f>
        <v>292.53871612903214</v>
      </c>
      <c r="M9" s="337"/>
      <c r="N9" s="338"/>
    </row>
    <row r="10" spans="2:14" s="342" customFormat="1" ht="13.5" thickBot="1">
      <c r="B10" s="365" t="s">
        <v>315</v>
      </c>
      <c r="C10" s="339"/>
      <c r="D10" s="339"/>
      <c r="E10" s="339"/>
      <c r="F10" s="348">
        <f>+IF(E8&lt;0,-E8,0)</f>
        <v>214.22666021505387</v>
      </c>
      <c r="G10" s="339"/>
      <c r="H10" s="339"/>
      <c r="I10" s="348">
        <f>+IF(H8&lt;0,-H8,0)</f>
        <v>0</v>
      </c>
      <c r="J10" s="339"/>
      <c r="K10" s="339"/>
      <c r="L10" s="348">
        <f>+IF(K8&lt;0,-K8,0)</f>
        <v>0</v>
      </c>
      <c r="M10" s="339"/>
      <c r="N10" s="34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Hoja1"/>
  <dimension ref="A3:P53"/>
  <sheetViews>
    <sheetView showGridLines="0" tabSelected="1" zoomScale="80" workbookViewId="0">
      <selection activeCell="E7" sqref="E7"/>
    </sheetView>
  </sheetViews>
  <sheetFormatPr baseColWidth="10" defaultRowHeight="12.75"/>
  <cols>
    <col min="1" max="1" width="10.42578125" style="2" customWidth="1"/>
    <col min="2" max="2" width="29.28515625" style="4" customWidth="1"/>
    <col min="3" max="10" width="11.42578125" style="4" customWidth="1"/>
    <col min="11" max="11" width="13.28515625" style="4" customWidth="1"/>
    <col min="12" max="12" width="11.42578125" style="4" customWidth="1"/>
    <col min="13" max="14" width="11.42578125" style="4"/>
    <col min="15" max="15" width="12.140625" style="4" customWidth="1"/>
    <col min="16" max="16384" width="11.42578125" style="4"/>
  </cols>
  <sheetData>
    <row r="3" spans="2:14">
      <c r="B3" s="3"/>
      <c r="C3" s="1" t="s">
        <v>1</v>
      </c>
      <c r="D3" s="1" t="s">
        <v>3</v>
      </c>
      <c r="E3" s="1" t="s">
        <v>4</v>
      </c>
      <c r="F3" s="1" t="s">
        <v>5</v>
      </c>
      <c r="G3" s="1" t="s">
        <v>6</v>
      </c>
      <c r="H3" s="1" t="s">
        <v>7</v>
      </c>
      <c r="I3" s="1" t="s">
        <v>8</v>
      </c>
      <c r="J3" s="1" t="s">
        <v>9</v>
      </c>
      <c r="K3" s="1" t="s">
        <v>10</v>
      </c>
      <c r="L3" s="1" t="s">
        <v>11</v>
      </c>
      <c r="M3" s="1" t="s">
        <v>12</v>
      </c>
      <c r="N3" s="1" t="s">
        <v>13</v>
      </c>
    </row>
    <row r="4" spans="2:14">
      <c r="B4" s="6" t="s">
        <v>25</v>
      </c>
      <c r="C4" s="3"/>
      <c r="D4" s="3"/>
      <c r="E4" s="3"/>
      <c r="F4" s="3"/>
      <c r="G4" s="3"/>
      <c r="H4" s="3"/>
      <c r="I4" s="3"/>
      <c r="J4" s="3"/>
      <c r="K4" s="3"/>
      <c r="L4" s="3"/>
      <c r="M4" s="3"/>
      <c r="N4" s="3"/>
    </row>
    <row r="5" spans="2:14">
      <c r="B5" s="90" t="s">
        <v>31</v>
      </c>
      <c r="C5" s="293"/>
      <c r="D5" s="293"/>
      <c r="E5" s="293">
        <v>1500</v>
      </c>
      <c r="F5" s="293"/>
      <c r="G5" s="293"/>
      <c r="H5" s="293"/>
      <c r="I5" s="293"/>
      <c r="J5" s="293"/>
      <c r="K5" s="293"/>
      <c r="L5" s="293"/>
      <c r="M5" s="293"/>
      <c r="N5" s="293"/>
    </row>
    <row r="6" spans="2:14">
      <c r="B6" s="90" t="s">
        <v>157</v>
      </c>
      <c r="C6" s="293"/>
      <c r="D6" s="293"/>
      <c r="E6" s="293">
        <v>1500</v>
      </c>
      <c r="F6" s="293"/>
      <c r="G6" s="293"/>
      <c r="H6" s="293"/>
      <c r="I6" s="293"/>
      <c r="J6" s="293"/>
      <c r="K6" s="293"/>
      <c r="L6" s="293"/>
      <c r="M6" s="293"/>
      <c r="N6" s="293"/>
    </row>
    <row r="7" spans="2:14">
      <c r="B7" s="90" t="s">
        <v>89</v>
      </c>
      <c r="C7" s="293"/>
      <c r="D7" s="293"/>
      <c r="E7" s="293"/>
      <c r="F7" s="293"/>
      <c r="G7" s="293"/>
      <c r="H7" s="293"/>
      <c r="I7" s="293"/>
      <c r="J7" s="293"/>
      <c r="K7" s="293"/>
      <c r="L7" s="293"/>
      <c r="M7" s="293"/>
      <c r="N7" s="293"/>
    </row>
    <row r="8" spans="2:14">
      <c r="B8" s="90" t="s">
        <v>94</v>
      </c>
      <c r="C8" s="293"/>
      <c r="D8" s="293"/>
      <c r="E8" s="293"/>
      <c r="F8" s="293"/>
      <c r="G8" s="293"/>
      <c r="H8" s="293"/>
      <c r="I8" s="293"/>
      <c r="J8" s="293"/>
      <c r="K8" s="293"/>
      <c r="L8" s="293"/>
      <c r="M8" s="293"/>
      <c r="N8" s="293"/>
    </row>
    <row r="9" spans="2:14">
      <c r="B9" s="90" t="s">
        <v>95</v>
      </c>
      <c r="C9" s="293"/>
      <c r="D9" s="293"/>
      <c r="E9" s="293"/>
      <c r="F9" s="293"/>
      <c r="G9" s="293"/>
      <c r="H9" s="293"/>
      <c r="I9" s="293"/>
      <c r="J9" s="293"/>
      <c r="K9" s="293"/>
      <c r="L9" s="293"/>
      <c r="M9" s="293"/>
      <c r="N9" s="293"/>
    </row>
    <row r="10" spans="2:14">
      <c r="B10" s="90" t="s">
        <v>17</v>
      </c>
      <c r="C10" s="293"/>
      <c r="D10" s="293"/>
      <c r="E10" s="293"/>
      <c r="F10" s="293"/>
      <c r="G10" s="293"/>
      <c r="H10" s="293"/>
      <c r="I10" s="293"/>
      <c r="J10" s="293"/>
      <c r="K10" s="293"/>
      <c r="L10" s="293"/>
      <c r="M10" s="293"/>
      <c r="N10" s="293"/>
    </row>
    <row r="11" spans="2:14">
      <c r="B11" s="90" t="s">
        <v>112</v>
      </c>
      <c r="C11" s="293"/>
      <c r="D11" s="293"/>
      <c r="E11" s="293"/>
      <c r="F11" s="293"/>
      <c r="G11" s="293"/>
      <c r="H11" s="293">
        <v>20</v>
      </c>
      <c r="I11" s="293"/>
      <c r="J11" s="293"/>
      <c r="K11" s="293"/>
      <c r="L11" s="293"/>
      <c r="M11" s="293"/>
      <c r="N11" s="293"/>
    </row>
    <row r="12" spans="2:14">
      <c r="B12" s="6" t="s">
        <v>14</v>
      </c>
      <c r="C12" s="292"/>
      <c r="D12" s="292"/>
      <c r="E12" s="292"/>
      <c r="F12" s="292"/>
      <c r="G12" s="292"/>
      <c r="H12" s="292"/>
      <c r="I12" s="292"/>
      <c r="J12" s="292"/>
      <c r="K12" s="292"/>
      <c r="L12" s="292"/>
      <c r="M12" s="292"/>
      <c r="N12" s="292"/>
    </row>
    <row r="13" spans="2:14">
      <c r="B13" s="90" t="s">
        <v>41</v>
      </c>
      <c r="C13" s="293"/>
      <c r="D13" s="293"/>
      <c r="E13" s="293"/>
      <c r="F13" s="293"/>
      <c r="G13" s="293"/>
      <c r="H13" s="293">
        <v>50</v>
      </c>
      <c r="I13" s="293"/>
      <c r="J13" s="293"/>
      <c r="K13" s="293"/>
      <c r="L13" s="293"/>
      <c r="M13" s="293"/>
      <c r="N13" s="293"/>
    </row>
    <row r="14" spans="2:14">
      <c r="B14" s="90" t="s">
        <v>40</v>
      </c>
      <c r="C14" s="293"/>
      <c r="D14" s="293"/>
      <c r="E14" s="293"/>
      <c r="F14" s="293"/>
      <c r="G14" s="293"/>
      <c r="H14" s="293">
        <v>500</v>
      </c>
      <c r="I14" s="293"/>
      <c r="J14" s="293"/>
      <c r="K14" s="293"/>
      <c r="L14" s="293"/>
      <c r="M14" s="293"/>
      <c r="N14" s="293"/>
    </row>
    <row r="15" spans="2:14">
      <c r="B15" s="90" t="s">
        <v>39</v>
      </c>
      <c r="C15" s="293"/>
      <c r="D15" s="293"/>
      <c r="E15" s="293"/>
      <c r="F15" s="293"/>
      <c r="G15" s="293"/>
      <c r="H15" s="293">
        <v>440</v>
      </c>
      <c r="I15" s="293"/>
      <c r="J15" s="293"/>
      <c r="K15" s="293"/>
      <c r="L15" s="293"/>
      <c r="M15" s="293"/>
      <c r="N15" s="293"/>
    </row>
    <row r="16" spans="2:14">
      <c r="B16" s="90" t="s">
        <v>90</v>
      </c>
      <c r="C16" s="293"/>
      <c r="D16" s="293"/>
      <c r="E16" s="293"/>
      <c r="F16" s="293"/>
      <c r="G16" s="293"/>
      <c r="H16" s="293">
        <v>125</v>
      </c>
      <c r="I16" s="293"/>
      <c r="J16" s="293"/>
      <c r="K16" s="293"/>
      <c r="L16" s="293"/>
      <c r="M16" s="293"/>
      <c r="N16" s="293"/>
    </row>
    <row r="17" spans="1:15">
      <c r="B17" s="90" t="s">
        <v>91</v>
      </c>
      <c r="C17" s="293"/>
      <c r="D17" s="293"/>
      <c r="E17" s="293"/>
      <c r="F17" s="293"/>
      <c r="G17" s="293"/>
      <c r="H17" s="293">
        <v>125</v>
      </c>
      <c r="I17" s="293"/>
      <c r="J17" s="293"/>
      <c r="K17" s="293"/>
      <c r="L17" s="293"/>
      <c r="M17" s="293"/>
      <c r="N17" s="293"/>
    </row>
    <row r="18" spans="1:15">
      <c r="B18" s="90" t="s">
        <v>103</v>
      </c>
      <c r="C18" s="293"/>
      <c r="D18" s="293"/>
      <c r="E18" s="293">
        <v>1000</v>
      </c>
      <c r="F18" s="293"/>
      <c r="G18" s="293"/>
      <c r="H18" s="293"/>
      <c r="I18" s="293"/>
      <c r="J18" s="293"/>
      <c r="K18" s="293"/>
      <c r="L18" s="293"/>
      <c r="M18" s="293"/>
      <c r="N18" s="293"/>
    </row>
    <row r="19" spans="1:15">
      <c r="B19" s="90" t="s">
        <v>104</v>
      </c>
      <c r="C19" s="293"/>
      <c r="D19" s="293"/>
      <c r="E19" s="293">
        <v>1000</v>
      </c>
      <c r="F19" s="293"/>
      <c r="G19" s="293"/>
      <c r="H19" s="293"/>
      <c r="I19" s="293"/>
      <c r="J19" s="293"/>
      <c r="K19" s="293"/>
      <c r="L19" s="293"/>
      <c r="M19" s="293"/>
      <c r="N19" s="293"/>
    </row>
    <row r="20" spans="1:15">
      <c r="B20" s="90" t="s">
        <v>97</v>
      </c>
      <c r="C20" s="293"/>
      <c r="D20" s="293"/>
      <c r="E20" s="293"/>
      <c r="F20" s="293"/>
      <c r="G20" s="293"/>
      <c r="H20" s="293"/>
      <c r="I20" s="293"/>
      <c r="J20" s="293"/>
      <c r="K20" s="293"/>
      <c r="L20" s="293"/>
      <c r="M20" s="293"/>
      <c r="N20" s="293"/>
    </row>
    <row r="21" spans="1:15">
      <c r="B21" s="90" t="s">
        <v>96</v>
      </c>
      <c r="C21" s="293"/>
      <c r="D21" s="293"/>
      <c r="E21" s="293"/>
      <c r="F21" s="293"/>
      <c r="G21" s="293"/>
      <c r="H21" s="293">
        <v>800</v>
      </c>
      <c r="I21" s="293"/>
      <c r="J21" s="293"/>
      <c r="K21" s="293"/>
      <c r="L21" s="293"/>
      <c r="M21" s="293"/>
      <c r="N21" s="293"/>
    </row>
    <row r="22" spans="1:15">
      <c r="B22" s="90" t="s">
        <v>98</v>
      </c>
      <c r="C22" s="293"/>
      <c r="D22" s="293"/>
      <c r="E22" s="293"/>
      <c r="F22" s="293"/>
      <c r="G22" s="293"/>
      <c r="H22" s="293"/>
      <c r="I22" s="293"/>
      <c r="J22" s="293"/>
      <c r="K22" s="293"/>
      <c r="L22" s="293"/>
      <c r="M22" s="293"/>
      <c r="N22" s="293"/>
    </row>
    <row r="23" spans="1:15">
      <c r="B23" s="90" t="s">
        <v>136</v>
      </c>
      <c r="C23" s="293">
        <v>0.83333333333333337</v>
      </c>
      <c r="D23" s="293">
        <v>0.83333333333333337</v>
      </c>
      <c r="E23" s="293">
        <v>0.83333333333333337</v>
      </c>
      <c r="F23" s="293">
        <v>0.83333333333333337</v>
      </c>
      <c r="G23" s="293">
        <v>0.83333333333333337</v>
      </c>
      <c r="H23" s="293">
        <v>0.83333333333333337</v>
      </c>
      <c r="I23" s="293">
        <v>0.83333333333333337</v>
      </c>
      <c r="J23" s="293">
        <v>0.83333333333333337</v>
      </c>
      <c r="K23" s="293">
        <v>0.83333333333333337</v>
      </c>
      <c r="L23" s="293">
        <v>0.83333333333333337</v>
      </c>
      <c r="M23" s="293">
        <v>0.83333333333333337</v>
      </c>
      <c r="N23" s="293">
        <v>0.83333333333333337</v>
      </c>
    </row>
    <row r="24" spans="1:15">
      <c r="B24" s="90" t="s">
        <v>108</v>
      </c>
      <c r="C24" s="293"/>
      <c r="D24" s="293"/>
      <c r="E24" s="293"/>
      <c r="F24" s="293"/>
      <c r="G24" s="293"/>
      <c r="H24" s="293"/>
      <c r="I24" s="293"/>
      <c r="J24" s="293"/>
      <c r="K24" s="293"/>
      <c r="L24" s="293"/>
      <c r="M24" s="293"/>
      <c r="N24" s="293"/>
    </row>
    <row r="25" spans="1:15">
      <c r="B25" s="90" t="s">
        <v>109</v>
      </c>
      <c r="C25" s="293"/>
      <c r="D25" s="293"/>
      <c r="E25" s="293"/>
      <c r="F25" s="293"/>
      <c r="G25" s="293"/>
      <c r="H25" s="293">
        <v>25</v>
      </c>
      <c r="I25" s="293"/>
      <c r="J25" s="293"/>
      <c r="K25" s="293"/>
      <c r="L25" s="293"/>
      <c r="M25" s="293"/>
      <c r="N25" s="293"/>
    </row>
    <row r="26" spans="1:15" s="12" customFormat="1" ht="13.5" thickBot="1">
      <c r="A26" s="171"/>
      <c r="B26" s="5"/>
      <c r="C26" s="5"/>
      <c r="D26" s="5"/>
      <c r="E26" s="5"/>
      <c r="F26" s="5"/>
      <c r="G26" s="5"/>
      <c r="H26" s="5"/>
      <c r="I26" s="5"/>
      <c r="J26" s="5"/>
      <c r="K26" s="5"/>
      <c r="L26" s="5"/>
      <c r="M26" s="5"/>
      <c r="N26" s="5"/>
    </row>
    <row r="27" spans="1:15" ht="13.5" thickBot="1">
      <c r="B27" s="3"/>
      <c r="C27" s="1" t="s">
        <v>1</v>
      </c>
      <c r="D27" s="1" t="s">
        <v>3</v>
      </c>
      <c r="E27" s="1" t="s">
        <v>4</v>
      </c>
      <c r="F27" s="1" t="s">
        <v>5</v>
      </c>
      <c r="G27" s="1" t="s">
        <v>6</v>
      </c>
      <c r="H27" s="1" t="s">
        <v>7</v>
      </c>
      <c r="I27" s="1" t="s">
        <v>8</v>
      </c>
      <c r="J27" s="1" t="s">
        <v>9</v>
      </c>
      <c r="K27" s="1" t="s">
        <v>10</v>
      </c>
      <c r="L27" s="1" t="s">
        <v>11</v>
      </c>
      <c r="M27" s="1" t="s">
        <v>12</v>
      </c>
      <c r="N27" s="1" t="s">
        <v>13</v>
      </c>
      <c r="O27" s="110" t="s">
        <v>192</v>
      </c>
    </row>
    <row r="28" spans="1:15" s="3" customFormat="1">
      <c r="B28" s="90" t="s">
        <v>35</v>
      </c>
      <c r="C28" s="91">
        <v>1450</v>
      </c>
      <c r="D28" s="91">
        <v>1450</v>
      </c>
      <c r="E28" s="91">
        <v>1450</v>
      </c>
      <c r="F28" s="91">
        <v>1450</v>
      </c>
      <c r="G28" s="91">
        <v>1450</v>
      </c>
      <c r="H28" s="91">
        <v>1450</v>
      </c>
      <c r="I28" s="91">
        <v>1450</v>
      </c>
      <c r="J28" s="91">
        <v>1450</v>
      </c>
      <c r="K28" s="91">
        <v>1450</v>
      </c>
      <c r="L28" s="91">
        <v>1450</v>
      </c>
      <c r="M28" s="91">
        <v>1450</v>
      </c>
      <c r="N28" s="91">
        <v>1450</v>
      </c>
      <c r="O28" s="294">
        <v>6975</v>
      </c>
    </row>
    <row r="29" spans="1:15" s="3" customFormat="1">
      <c r="B29" s="92" t="s">
        <v>127</v>
      </c>
      <c r="C29" s="91">
        <f>C28*'[1]Datos Previsiones'!$O33/'[1]Datos Previsiones'!$O$32</f>
        <v>592.47311827956992</v>
      </c>
      <c r="D29" s="91">
        <f>D28*'[1]Datos Previsiones'!$O33/'[1]Datos Previsiones'!$O$32</f>
        <v>592.47311827956992</v>
      </c>
      <c r="E29" s="91">
        <f>E28*'[1]Datos Previsiones'!$O33/'[1]Datos Previsiones'!$O$32</f>
        <v>592.47311827956992</v>
      </c>
      <c r="F29" s="91">
        <f>F28*'[1]Datos Previsiones'!$O33/'[1]Datos Previsiones'!$O$32</f>
        <v>592.47311827956992</v>
      </c>
      <c r="G29" s="91">
        <f>G28*'[1]Datos Previsiones'!$O33/'[1]Datos Previsiones'!$O$32</f>
        <v>592.47311827956992</v>
      </c>
      <c r="H29" s="91">
        <f>H28*'[1]Datos Previsiones'!$O33/'[1]Datos Previsiones'!$O$32</f>
        <v>592.47311827956992</v>
      </c>
      <c r="I29" s="91">
        <f>I28*'[1]Datos Previsiones'!$O33/'[1]Datos Previsiones'!$O$32</f>
        <v>592.47311827956992</v>
      </c>
      <c r="J29" s="91">
        <f>J28*'[1]Datos Previsiones'!$O33/'[1]Datos Previsiones'!$O$32</f>
        <v>592.47311827956992</v>
      </c>
      <c r="K29" s="91">
        <f>K28*'[1]Datos Previsiones'!$O33/'[1]Datos Previsiones'!$O$32</f>
        <v>592.47311827956992</v>
      </c>
      <c r="L29" s="91">
        <f>L28*'[1]Datos Previsiones'!$O33/'[1]Datos Previsiones'!$O$32</f>
        <v>592.47311827956992</v>
      </c>
      <c r="M29" s="91">
        <f>M28*'[1]Datos Previsiones'!$O33/'[1]Datos Previsiones'!$O$32</f>
        <v>592.47311827956992</v>
      </c>
      <c r="N29" s="91">
        <f>N28*'[1]Datos Previsiones'!$O33/'[1]Datos Previsiones'!$O$32</f>
        <v>592.47311827956992</v>
      </c>
      <c r="O29" s="295">
        <v>2850</v>
      </c>
    </row>
    <row r="30" spans="1:15" s="3" customFormat="1">
      <c r="B30" s="92" t="s">
        <v>128</v>
      </c>
      <c r="C30" s="91">
        <f>C28*'[1]Datos Previsiones'!$O34/'[1]Datos Previsiones'!$O$32</f>
        <v>322.22222222222223</v>
      </c>
      <c r="D30" s="91">
        <f>D28*'[1]Datos Previsiones'!$O34/'[1]Datos Previsiones'!$O$32</f>
        <v>322.22222222222223</v>
      </c>
      <c r="E30" s="91">
        <f>E28*'[1]Datos Previsiones'!$O34/'[1]Datos Previsiones'!$O$32</f>
        <v>322.22222222222223</v>
      </c>
      <c r="F30" s="91">
        <f>F28*'[1]Datos Previsiones'!$O34/'[1]Datos Previsiones'!$O$32</f>
        <v>322.22222222222223</v>
      </c>
      <c r="G30" s="91">
        <f>G28*'[1]Datos Previsiones'!$O34/'[1]Datos Previsiones'!$O$32</f>
        <v>322.22222222222223</v>
      </c>
      <c r="H30" s="91">
        <f>H28*'[1]Datos Previsiones'!$O34/'[1]Datos Previsiones'!$O$32</f>
        <v>322.22222222222223</v>
      </c>
      <c r="I30" s="91">
        <f>I28*'[1]Datos Previsiones'!$O34/'[1]Datos Previsiones'!$O$32</f>
        <v>322.22222222222223</v>
      </c>
      <c r="J30" s="91">
        <f>J28*'[1]Datos Previsiones'!$O34/'[1]Datos Previsiones'!$O$32</f>
        <v>322.22222222222223</v>
      </c>
      <c r="K30" s="91">
        <f>K28*'[1]Datos Previsiones'!$O34/'[1]Datos Previsiones'!$O$32</f>
        <v>322.22222222222223</v>
      </c>
      <c r="L30" s="91">
        <f>L28*'[1]Datos Previsiones'!$O34/'[1]Datos Previsiones'!$O$32</f>
        <v>322.22222222222223</v>
      </c>
      <c r="M30" s="91">
        <f>M28*'[1]Datos Previsiones'!$O34/'[1]Datos Previsiones'!$O$32</f>
        <v>322.22222222222223</v>
      </c>
      <c r="N30" s="91">
        <f>N28*'[1]Datos Previsiones'!$O34/'[1]Datos Previsiones'!$O$32</f>
        <v>322.22222222222223</v>
      </c>
      <c r="O30" s="295">
        <v>1550</v>
      </c>
    </row>
    <row r="31" spans="1:15" s="3" customFormat="1" ht="13.5" thickBot="1">
      <c r="B31" s="92" t="s">
        <v>129</v>
      </c>
      <c r="C31" s="91">
        <f>C28*'[1]Datos Previsiones'!$O35/'[1]Datos Previsiones'!$O$32</f>
        <v>43.5</v>
      </c>
      <c r="D31" s="91">
        <f>D28*'[1]Datos Previsiones'!$O35/'[1]Datos Previsiones'!$O$32</f>
        <v>43.5</v>
      </c>
      <c r="E31" s="91">
        <f>E28*'[1]Datos Previsiones'!$O35/'[1]Datos Previsiones'!$O$32</f>
        <v>43.5</v>
      </c>
      <c r="F31" s="91">
        <f>F28*'[1]Datos Previsiones'!$O35/'[1]Datos Previsiones'!$O$32</f>
        <v>43.5</v>
      </c>
      <c r="G31" s="91">
        <f>G28*'[1]Datos Previsiones'!$O35/'[1]Datos Previsiones'!$O$32</f>
        <v>43.5</v>
      </c>
      <c r="H31" s="91">
        <f>H28*'[1]Datos Previsiones'!$O35/'[1]Datos Previsiones'!$O$32</f>
        <v>43.5</v>
      </c>
      <c r="I31" s="91">
        <f>I28*'[1]Datos Previsiones'!$O35/'[1]Datos Previsiones'!$O$32</f>
        <v>43.5</v>
      </c>
      <c r="J31" s="91">
        <f>J28*'[1]Datos Previsiones'!$O35/'[1]Datos Previsiones'!$O$32</f>
        <v>43.5</v>
      </c>
      <c r="K31" s="91">
        <f>K28*'[1]Datos Previsiones'!$O35/'[1]Datos Previsiones'!$O$32</f>
        <v>43.5</v>
      </c>
      <c r="L31" s="91">
        <f>L28*'[1]Datos Previsiones'!$O35/'[1]Datos Previsiones'!$O$32</f>
        <v>43.5</v>
      </c>
      <c r="M31" s="91">
        <f>M28*'[1]Datos Previsiones'!$O35/'[1]Datos Previsiones'!$O$32</f>
        <v>43.5</v>
      </c>
      <c r="N31" s="91">
        <f>N28*'[1]Datos Previsiones'!$O35/'[1]Datos Previsiones'!$O$32</f>
        <v>43.5</v>
      </c>
      <c r="O31" s="295">
        <v>209.25</v>
      </c>
    </row>
    <row r="32" spans="1:15" s="3" customFormat="1">
      <c r="B32" s="92" t="s">
        <v>130</v>
      </c>
      <c r="C32" s="91">
        <f>C28*'[1]Datos Previsiones'!$O36/'[1]Datos Previsiones'!$O$32</f>
        <v>17.944659498207887</v>
      </c>
      <c r="D32" s="91">
        <f>D28*'[1]Datos Previsiones'!$O36/'[1]Datos Previsiones'!$O$32</f>
        <v>17.944659498207887</v>
      </c>
      <c r="E32" s="91">
        <f>E28*'[1]Datos Previsiones'!$O36/'[1]Datos Previsiones'!$O$32</f>
        <v>17.944659498207887</v>
      </c>
      <c r="F32" s="91">
        <f>F28*'[1]Datos Previsiones'!$O36/'[1]Datos Previsiones'!$O$32</f>
        <v>17.944659498207887</v>
      </c>
      <c r="G32" s="91">
        <f>G28*'[1]Datos Previsiones'!$O36/'[1]Datos Previsiones'!$O$32</f>
        <v>17.944659498207887</v>
      </c>
      <c r="H32" s="91">
        <f>H28*'[1]Datos Previsiones'!$O36/'[1]Datos Previsiones'!$O$32</f>
        <v>17.944659498207887</v>
      </c>
      <c r="I32" s="91">
        <f>I28*'[1]Datos Previsiones'!$O36/'[1]Datos Previsiones'!$O$32</f>
        <v>17.944659498207887</v>
      </c>
      <c r="J32" s="91">
        <f>J28*'[1]Datos Previsiones'!$O36/'[1]Datos Previsiones'!$O$32</f>
        <v>17.944659498207887</v>
      </c>
      <c r="K32" s="91">
        <f>K28*'[1]Datos Previsiones'!$O36/'[1]Datos Previsiones'!$O$32</f>
        <v>17.944659498207887</v>
      </c>
      <c r="L32" s="91">
        <f>L28*'[1]Datos Previsiones'!$O36/'[1]Datos Previsiones'!$O$32</f>
        <v>17.944659498207887</v>
      </c>
      <c r="M32" s="91">
        <f>M28*'[1]Datos Previsiones'!$O36/'[1]Datos Previsiones'!$O$32</f>
        <v>17.944659498207887</v>
      </c>
      <c r="N32" s="298">
        <f>N28*'[1]Datos Previsiones'!$O36/'[1]Datos Previsiones'!$O$32</f>
        <v>17.944659498207887</v>
      </c>
      <c r="O32" s="296">
        <v>86.320000000000007</v>
      </c>
    </row>
    <row r="33" spans="2:16" s="3" customFormat="1">
      <c r="B33" s="92" t="s">
        <v>111</v>
      </c>
      <c r="C33" s="91">
        <f>C28*'[1]Datos Previsiones'!$O37/'[1]Datos Previsiones'!$O$32</f>
        <v>29.93548387096774</v>
      </c>
      <c r="D33" s="91">
        <f>D28*'[1]Datos Previsiones'!$O37/'[1]Datos Previsiones'!$O$32</f>
        <v>29.93548387096774</v>
      </c>
      <c r="E33" s="91">
        <f>E28*'[1]Datos Previsiones'!$O37/'[1]Datos Previsiones'!$O$32</f>
        <v>29.93548387096774</v>
      </c>
      <c r="F33" s="91">
        <f>F28*'[1]Datos Previsiones'!$O37/'[1]Datos Previsiones'!$O$32</f>
        <v>29.93548387096774</v>
      </c>
      <c r="G33" s="91">
        <f>G28*'[1]Datos Previsiones'!$O37/'[1]Datos Previsiones'!$O$32</f>
        <v>29.93548387096774</v>
      </c>
      <c r="H33" s="91">
        <f>H28*'[1]Datos Previsiones'!$O37/'[1]Datos Previsiones'!$O$32</f>
        <v>29.93548387096774</v>
      </c>
      <c r="I33" s="91">
        <f>I28*'[1]Datos Previsiones'!$O37/'[1]Datos Previsiones'!$O$32</f>
        <v>29.93548387096774</v>
      </c>
      <c r="J33" s="91">
        <f>J28*'[1]Datos Previsiones'!$O37/'[1]Datos Previsiones'!$O$32</f>
        <v>29.93548387096774</v>
      </c>
      <c r="K33" s="91">
        <f>K28*'[1]Datos Previsiones'!$O37/'[1]Datos Previsiones'!$O$32</f>
        <v>29.93548387096774</v>
      </c>
      <c r="L33" s="91">
        <f>L28*'[1]Datos Previsiones'!$O37/'[1]Datos Previsiones'!$O$32</f>
        <v>29.93548387096774</v>
      </c>
      <c r="M33" s="91">
        <f>M28*'[1]Datos Previsiones'!$O37/'[1]Datos Previsiones'!$O$32</f>
        <v>29.93548387096774</v>
      </c>
      <c r="N33" s="298">
        <f>N28*'[1]Datos Previsiones'!$O37/'[1]Datos Previsiones'!$O$32</f>
        <v>29.93548387096774</v>
      </c>
      <c r="O33" s="295">
        <v>144</v>
      </c>
    </row>
    <row r="34" spans="2:16" s="3" customFormat="1">
      <c r="B34" s="92" t="s">
        <v>131</v>
      </c>
      <c r="C34" s="91">
        <f>C28*'[1]Datos Previsiones'!$O38/'[1]Datos Previsiones'!$O$32</f>
        <v>4.6399999999999997</v>
      </c>
      <c r="D34" s="91">
        <f>D28*'[1]Datos Previsiones'!$O38/'[1]Datos Previsiones'!$O$32</f>
        <v>4.6399999999999997</v>
      </c>
      <c r="E34" s="91">
        <f>E28*'[1]Datos Previsiones'!$O38/'[1]Datos Previsiones'!$O$32</f>
        <v>4.6399999999999997</v>
      </c>
      <c r="F34" s="91">
        <f>F28*'[1]Datos Previsiones'!$O38/'[1]Datos Previsiones'!$O$32</f>
        <v>4.6399999999999997</v>
      </c>
      <c r="G34" s="91">
        <f>G28*'[1]Datos Previsiones'!$O38/'[1]Datos Previsiones'!$O$32</f>
        <v>4.6399999999999997</v>
      </c>
      <c r="H34" s="91">
        <f>H28*'[1]Datos Previsiones'!$O38/'[1]Datos Previsiones'!$O$32</f>
        <v>4.6399999999999997</v>
      </c>
      <c r="I34" s="91">
        <f>I28*'[1]Datos Previsiones'!$O38/'[1]Datos Previsiones'!$O$32</f>
        <v>4.6399999999999997</v>
      </c>
      <c r="J34" s="91">
        <f>J28*'[1]Datos Previsiones'!$O38/'[1]Datos Previsiones'!$O$32</f>
        <v>4.6399999999999997</v>
      </c>
      <c r="K34" s="91">
        <f>K28*'[1]Datos Previsiones'!$O38/'[1]Datos Previsiones'!$O$32</f>
        <v>4.6399999999999997</v>
      </c>
      <c r="L34" s="91">
        <f>L28*'[1]Datos Previsiones'!$O38/'[1]Datos Previsiones'!$O$32</f>
        <v>4.6399999999999997</v>
      </c>
      <c r="M34" s="91">
        <f>M28*'[1]Datos Previsiones'!$O38/'[1]Datos Previsiones'!$O$32</f>
        <v>4.6399999999999997</v>
      </c>
      <c r="N34" s="298">
        <f>N28*'[1]Datos Previsiones'!$O38/'[1]Datos Previsiones'!$O$32</f>
        <v>4.6399999999999997</v>
      </c>
      <c r="O34" s="295">
        <v>22.32</v>
      </c>
    </row>
    <row r="35" spans="2:16" s="3" customFormat="1">
      <c r="B35" s="92" t="s">
        <v>132</v>
      </c>
      <c r="C35" s="91">
        <f>C28*'[1]Datos Previsiones'!$O39/'[1]Datos Previsiones'!$O$32</f>
        <v>15.466666666666669</v>
      </c>
      <c r="D35" s="91">
        <f>D28*'[1]Datos Previsiones'!$O39/'[1]Datos Previsiones'!$O$32</f>
        <v>15.466666666666669</v>
      </c>
      <c r="E35" s="91">
        <f>E28*'[1]Datos Previsiones'!$O39/'[1]Datos Previsiones'!$O$32</f>
        <v>15.466666666666669</v>
      </c>
      <c r="F35" s="91">
        <f>F28*'[1]Datos Previsiones'!$O39/'[1]Datos Previsiones'!$O$32</f>
        <v>15.466666666666669</v>
      </c>
      <c r="G35" s="91">
        <f>G28*'[1]Datos Previsiones'!$O39/'[1]Datos Previsiones'!$O$32</f>
        <v>15.466666666666669</v>
      </c>
      <c r="H35" s="91">
        <f>H28*'[1]Datos Previsiones'!$O39/'[1]Datos Previsiones'!$O$32</f>
        <v>15.466666666666669</v>
      </c>
      <c r="I35" s="91">
        <f>I28*'[1]Datos Previsiones'!$O39/'[1]Datos Previsiones'!$O$32</f>
        <v>15.466666666666669</v>
      </c>
      <c r="J35" s="91">
        <f>J28*'[1]Datos Previsiones'!$O39/'[1]Datos Previsiones'!$O$32</f>
        <v>15.466666666666669</v>
      </c>
      <c r="K35" s="91">
        <f>K28*'[1]Datos Previsiones'!$O39/'[1]Datos Previsiones'!$O$32</f>
        <v>15.466666666666669</v>
      </c>
      <c r="L35" s="91">
        <f>L28*'[1]Datos Previsiones'!$O39/'[1]Datos Previsiones'!$O$32</f>
        <v>15.466666666666669</v>
      </c>
      <c r="M35" s="91">
        <f>M28*'[1]Datos Previsiones'!$O39/'[1]Datos Previsiones'!$O$32</f>
        <v>15.466666666666669</v>
      </c>
      <c r="N35" s="298">
        <f>N28*'[1]Datos Previsiones'!$O39/'[1]Datos Previsiones'!$O$32</f>
        <v>15.466666666666669</v>
      </c>
      <c r="O35" s="295">
        <v>74.400000000000006</v>
      </c>
    </row>
    <row r="36" spans="2:16" s="3" customFormat="1">
      <c r="B36" s="92" t="s">
        <v>133</v>
      </c>
      <c r="C36" s="91">
        <f>C28*'[1]Datos Previsiones'!$O40/'[1]Datos Previsiones'!$O$32</f>
        <v>17.607885304659497</v>
      </c>
      <c r="D36" s="91">
        <f>D28*'[1]Datos Previsiones'!$O40/'[1]Datos Previsiones'!$O$32</f>
        <v>17.607885304659497</v>
      </c>
      <c r="E36" s="91">
        <f>E28*'[1]Datos Previsiones'!$O40/'[1]Datos Previsiones'!$O$32</f>
        <v>17.607885304659497</v>
      </c>
      <c r="F36" s="91">
        <f>F28*'[1]Datos Previsiones'!$O40/'[1]Datos Previsiones'!$O$32</f>
        <v>17.607885304659497</v>
      </c>
      <c r="G36" s="91">
        <f>G28*'[1]Datos Previsiones'!$O40/'[1]Datos Previsiones'!$O$32</f>
        <v>17.607885304659497</v>
      </c>
      <c r="H36" s="91">
        <f>H28*'[1]Datos Previsiones'!$O40/'[1]Datos Previsiones'!$O$32</f>
        <v>17.607885304659497</v>
      </c>
      <c r="I36" s="91">
        <f>I28*'[1]Datos Previsiones'!$O40/'[1]Datos Previsiones'!$O$32</f>
        <v>17.607885304659497</v>
      </c>
      <c r="J36" s="91">
        <f>J28*'[1]Datos Previsiones'!$O40/'[1]Datos Previsiones'!$O$32</f>
        <v>17.607885304659497</v>
      </c>
      <c r="K36" s="91">
        <f>K28*'[1]Datos Previsiones'!$O40/'[1]Datos Previsiones'!$O$32</f>
        <v>17.607885304659497</v>
      </c>
      <c r="L36" s="91">
        <f>L28*'[1]Datos Previsiones'!$O40/'[1]Datos Previsiones'!$O$32</f>
        <v>17.607885304659497</v>
      </c>
      <c r="M36" s="91">
        <f>M28*'[1]Datos Previsiones'!$O40/'[1]Datos Previsiones'!$O$32</f>
        <v>17.607885304659497</v>
      </c>
      <c r="N36" s="298">
        <f>N28*'[1]Datos Previsiones'!$O40/'[1]Datos Previsiones'!$O$32</f>
        <v>17.607885304659497</v>
      </c>
      <c r="O36" s="295">
        <v>84.7</v>
      </c>
    </row>
    <row r="37" spans="2:16" s="3" customFormat="1">
      <c r="B37" s="5"/>
      <c r="E37" s="4"/>
      <c r="F37" s="4"/>
      <c r="G37" s="4"/>
      <c r="H37" s="4"/>
      <c r="I37" s="4"/>
      <c r="M37" s="4"/>
      <c r="N37" s="4"/>
      <c r="P37" s="4"/>
    </row>
    <row r="38" spans="2:16" s="3" customFormat="1" ht="13.5" thickBot="1">
      <c r="B38" s="5"/>
      <c r="O38" s="4"/>
    </row>
    <row r="39" spans="2:16" s="3" customFormat="1" ht="13.5" thickBot="1">
      <c r="B39" s="154" t="s">
        <v>45</v>
      </c>
      <c r="C39" s="155">
        <v>0</v>
      </c>
      <c r="D39" s="4"/>
      <c r="E39" s="22" t="s">
        <v>38</v>
      </c>
      <c r="F39" s="26"/>
      <c r="G39" s="159" t="s">
        <v>191</v>
      </c>
      <c r="H39" s="4"/>
      <c r="I39" s="96" t="s">
        <v>169</v>
      </c>
      <c r="J39" s="112"/>
      <c r="K39" s="160" t="s">
        <v>190</v>
      </c>
      <c r="M39" s="4"/>
    </row>
    <row r="40" spans="2:16" s="3" customFormat="1">
      <c r="B40" s="47" t="s">
        <v>34</v>
      </c>
      <c r="C40" s="100"/>
      <c r="D40" s="4"/>
      <c r="E40" s="19" t="s">
        <v>158</v>
      </c>
      <c r="F40" s="26"/>
      <c r="G40" s="157">
        <v>0</v>
      </c>
      <c r="H40" s="4"/>
      <c r="I40" s="19" t="s">
        <v>158</v>
      </c>
      <c r="J40" s="26"/>
      <c r="K40" s="157">
        <v>0</v>
      </c>
      <c r="L40" s="4"/>
      <c r="M40" s="4"/>
    </row>
    <row r="41" spans="2:16" s="3" customFormat="1">
      <c r="B41" s="47" t="s">
        <v>99</v>
      </c>
      <c r="C41" s="100">
        <v>0.21</v>
      </c>
      <c r="D41" s="4"/>
      <c r="E41" s="21" t="s">
        <v>172</v>
      </c>
      <c r="G41" s="157">
        <v>0.5</v>
      </c>
      <c r="H41" s="4"/>
      <c r="I41" s="21" t="s">
        <v>172</v>
      </c>
      <c r="K41" s="157">
        <v>1</v>
      </c>
      <c r="L41" s="4"/>
      <c r="M41" s="4"/>
      <c r="N41" s="4"/>
    </row>
    <row r="42" spans="2:16" s="3" customFormat="1" ht="13.5" thickBot="1">
      <c r="B42" s="48" t="s">
        <v>107</v>
      </c>
      <c r="C42" s="101"/>
      <c r="E42" s="21" t="s">
        <v>173</v>
      </c>
      <c r="G42" s="157">
        <v>0.5</v>
      </c>
      <c r="H42" s="4"/>
      <c r="I42" s="21" t="s">
        <v>173</v>
      </c>
      <c r="K42" s="157">
        <v>0</v>
      </c>
      <c r="N42" s="4"/>
    </row>
    <row r="43" spans="2:16" s="3" customFormat="1" ht="13.5" thickBot="1">
      <c r="E43" s="20" t="s">
        <v>174</v>
      </c>
      <c r="F43" s="16"/>
      <c r="G43" s="158">
        <v>0</v>
      </c>
      <c r="H43" s="4"/>
      <c r="I43" s="20" t="s">
        <v>174</v>
      </c>
      <c r="J43" s="16"/>
      <c r="K43" s="158">
        <v>0</v>
      </c>
      <c r="N43" s="4"/>
      <c r="O43" s="4"/>
    </row>
    <row r="44" spans="2:16" s="3" customFormat="1" ht="13.5" thickBot="1">
      <c r="G44" s="12"/>
      <c r="H44" s="4"/>
      <c r="L44" s="4"/>
      <c r="M44" s="4"/>
      <c r="N44" s="4"/>
      <c r="O44" s="4"/>
    </row>
    <row r="45" spans="2:16" s="3" customFormat="1" ht="13.5" thickBot="1">
      <c r="E45" s="98" t="s">
        <v>171</v>
      </c>
      <c r="F45" s="8"/>
      <c r="G45" s="113">
        <v>1</v>
      </c>
      <c r="I45" s="156"/>
      <c r="O45" s="4"/>
      <c r="P45" s="4"/>
    </row>
    <row r="46" spans="2:16" ht="13.5" thickBot="1">
      <c r="D46" s="3"/>
      <c r="E46" s="99" t="s">
        <v>170</v>
      </c>
      <c r="F46" s="16"/>
      <c r="G46" s="114">
        <v>1</v>
      </c>
      <c r="H46" s="3"/>
      <c r="I46" s="96" t="s">
        <v>175</v>
      </c>
      <c r="J46" s="112"/>
      <c r="K46" s="97">
        <v>3</v>
      </c>
      <c r="L46" s="3"/>
      <c r="M46" s="3"/>
      <c r="N46" s="3"/>
    </row>
    <row r="47" spans="2:16">
      <c r="D47" s="3"/>
      <c r="G47" s="3"/>
      <c r="H47" s="3"/>
      <c r="L47" s="3"/>
      <c r="M47" s="3"/>
      <c r="N47" s="3"/>
    </row>
    <row r="48" spans="2:16" s="3" customFormat="1">
      <c r="B48" s="6" t="s">
        <v>32</v>
      </c>
      <c r="O48" s="4"/>
      <c r="P48" s="4"/>
    </row>
    <row r="49" spans="2:16" s="3" customFormat="1">
      <c r="B49" s="90" t="s">
        <v>27</v>
      </c>
      <c r="C49" s="91">
        <v>200</v>
      </c>
      <c r="D49" s="91">
        <v>175</v>
      </c>
      <c r="E49" s="91">
        <v>150</v>
      </c>
      <c r="F49" s="91"/>
      <c r="G49" s="91"/>
      <c r="H49" s="91"/>
      <c r="I49" s="91"/>
      <c r="J49" s="91"/>
      <c r="K49" s="91"/>
      <c r="L49" s="91"/>
      <c r="M49" s="91"/>
      <c r="N49" s="91"/>
      <c r="O49" s="4"/>
      <c r="P49" s="4"/>
    </row>
    <row r="50" spans="2:16" s="3" customFormat="1">
      <c r="B50" s="90" t="s">
        <v>28</v>
      </c>
      <c r="C50" s="91">
        <v>100</v>
      </c>
      <c r="D50" s="91">
        <v>100</v>
      </c>
      <c r="E50" s="91">
        <v>87</v>
      </c>
      <c r="F50" s="91"/>
      <c r="G50" s="91"/>
      <c r="H50" s="91"/>
      <c r="I50" s="91"/>
      <c r="J50" s="91"/>
      <c r="K50" s="91"/>
      <c r="L50" s="91"/>
      <c r="M50" s="91"/>
      <c r="N50" s="91"/>
      <c r="O50" s="4"/>
      <c r="P50" s="4"/>
    </row>
    <row r="51" spans="2:16" s="3" customFormat="1">
      <c r="B51" s="90" t="s">
        <v>110</v>
      </c>
      <c r="C51" s="91">
        <v>20</v>
      </c>
      <c r="D51" s="91">
        <v>15</v>
      </c>
      <c r="E51" s="91">
        <v>14</v>
      </c>
      <c r="F51" s="91"/>
      <c r="G51" s="91"/>
      <c r="H51" s="91"/>
      <c r="I51" s="91"/>
      <c r="J51" s="91"/>
      <c r="K51" s="91"/>
      <c r="L51" s="91"/>
      <c r="M51" s="91"/>
      <c r="N51" s="91"/>
      <c r="O51" s="4"/>
      <c r="P51" s="4"/>
    </row>
    <row r="52" spans="2:16">
      <c r="D52" s="3"/>
      <c r="E52" s="3"/>
      <c r="F52" s="3"/>
      <c r="G52" s="3"/>
      <c r="H52" s="3"/>
      <c r="I52" s="3"/>
      <c r="J52" s="3"/>
      <c r="K52" s="3"/>
      <c r="L52" s="3"/>
      <c r="M52" s="3"/>
      <c r="N52" s="3"/>
    </row>
    <row r="53" spans="2:16">
      <c r="D53" s="3"/>
      <c r="E53" s="3"/>
      <c r="F53" s="3"/>
      <c r="G53" s="3"/>
      <c r="H53" s="3"/>
      <c r="I53" s="3"/>
      <c r="J53" s="3"/>
      <c r="K53" s="3"/>
      <c r="L53" s="3"/>
      <c r="M53" s="3"/>
      <c r="N53" s="3"/>
    </row>
  </sheetData>
  <phoneticPr fontId="1" type="noConversion"/>
  <dataValidations count="1">
    <dataValidation type="list" allowBlank="1" showInputMessage="1" showErrorMessage="1" sqref="K46">
      <formula1>"0,1,2,3"</formula1>
    </dataValidation>
  </dataValidations>
  <pageMargins left="0.75" right="0.75" top="1" bottom="1"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Hoja3"/>
  <dimension ref="A2:O34"/>
  <sheetViews>
    <sheetView showGridLines="0" zoomScale="80" zoomScaleNormal="80" workbookViewId="0">
      <selection activeCell="D40" sqref="D40"/>
    </sheetView>
  </sheetViews>
  <sheetFormatPr baseColWidth="10" defaultRowHeight="12.75"/>
  <cols>
    <col min="1" max="1" width="43.28515625" style="3" customWidth="1"/>
    <col min="2" max="13" width="10" style="3" customWidth="1"/>
    <col min="14" max="14" width="11.42578125" style="3"/>
    <col min="16" max="16384" width="11.42578125" style="3"/>
  </cols>
  <sheetData>
    <row r="2" spans="1:14" ht="13.5" thickBot="1">
      <c r="B2" s="6" t="s">
        <v>1</v>
      </c>
      <c r="C2" s="6" t="s">
        <v>3</v>
      </c>
      <c r="D2" s="6" t="s">
        <v>4</v>
      </c>
      <c r="E2" s="6" t="s">
        <v>5</v>
      </c>
      <c r="F2" s="6" t="s">
        <v>6</v>
      </c>
      <c r="G2" s="6" t="s">
        <v>7</v>
      </c>
      <c r="H2" s="6" t="s">
        <v>8</v>
      </c>
      <c r="I2" s="6" t="s">
        <v>9</v>
      </c>
      <c r="J2" s="6" t="s">
        <v>10</v>
      </c>
      <c r="K2" s="6" t="s">
        <v>11</v>
      </c>
      <c r="L2" s="6" t="s">
        <v>12</v>
      </c>
      <c r="M2" s="6" t="s">
        <v>13</v>
      </c>
      <c r="N2" s="6" t="s">
        <v>100</v>
      </c>
    </row>
    <row r="3" spans="1:14">
      <c r="A3" s="58" t="s">
        <v>46</v>
      </c>
      <c r="B3" s="85">
        <f>+'Datos Previsiones'!C28</f>
        <v>1450</v>
      </c>
      <c r="C3" s="85">
        <f>+'Datos Previsiones'!D28</f>
        <v>1450</v>
      </c>
      <c r="D3" s="85">
        <f>+'Datos Previsiones'!E28</f>
        <v>1450</v>
      </c>
      <c r="E3" s="85">
        <f>+'Datos Previsiones'!F28</f>
        <v>1450</v>
      </c>
      <c r="F3" s="85">
        <f>+'Datos Previsiones'!G28</f>
        <v>1450</v>
      </c>
      <c r="G3" s="85">
        <f>+'Datos Previsiones'!H28</f>
        <v>1450</v>
      </c>
      <c r="H3" s="85">
        <f>+'Datos Previsiones'!I28</f>
        <v>1450</v>
      </c>
      <c r="I3" s="85">
        <f>+'Datos Previsiones'!J28</f>
        <v>1450</v>
      </c>
      <c r="J3" s="85">
        <f>+'Datos Previsiones'!K28</f>
        <v>1450</v>
      </c>
      <c r="K3" s="85">
        <f>+'Datos Previsiones'!L28</f>
        <v>1450</v>
      </c>
      <c r="L3" s="85">
        <f>+'Datos Previsiones'!M28</f>
        <v>1450</v>
      </c>
      <c r="M3" s="85">
        <f>+'Datos Previsiones'!N28</f>
        <v>1450</v>
      </c>
      <c r="N3" s="85">
        <f>SUM(B3:M3)</f>
        <v>17400</v>
      </c>
    </row>
    <row r="4" spans="1:14">
      <c r="A4" s="59" t="s">
        <v>47</v>
      </c>
      <c r="B4" s="86">
        <f>+'Datos Previsiones'!C29</f>
        <v>592.47311827956992</v>
      </c>
      <c r="C4" s="86">
        <f>+'Datos Previsiones'!D29</f>
        <v>592.47311827956992</v>
      </c>
      <c r="D4" s="86">
        <f>+'Datos Previsiones'!E29</f>
        <v>592.47311827956992</v>
      </c>
      <c r="E4" s="86">
        <f>+'Datos Previsiones'!F29</f>
        <v>592.47311827956992</v>
      </c>
      <c r="F4" s="86">
        <f>+'Datos Previsiones'!G29</f>
        <v>592.47311827956992</v>
      </c>
      <c r="G4" s="86">
        <f>+'Datos Previsiones'!H29</f>
        <v>592.47311827956992</v>
      </c>
      <c r="H4" s="86">
        <f>+'Datos Previsiones'!I29</f>
        <v>592.47311827956992</v>
      </c>
      <c r="I4" s="86">
        <f>+'Datos Previsiones'!J29</f>
        <v>592.47311827956992</v>
      </c>
      <c r="J4" s="86">
        <f>+'Datos Previsiones'!K29</f>
        <v>592.47311827956992</v>
      </c>
      <c r="K4" s="86">
        <f>+'Datos Previsiones'!L29</f>
        <v>592.47311827956992</v>
      </c>
      <c r="L4" s="86">
        <f>+'Datos Previsiones'!M29</f>
        <v>592.47311827956992</v>
      </c>
      <c r="M4" s="86">
        <f>+'Datos Previsiones'!N29</f>
        <v>592.47311827956992</v>
      </c>
      <c r="N4" s="86">
        <f>SUM(B4:M4)</f>
        <v>7109.6774193548372</v>
      </c>
    </row>
    <row r="5" spans="1:14">
      <c r="A5" s="59" t="s">
        <v>101</v>
      </c>
      <c r="B5" s="86">
        <f>+'Datos Previsiones'!C30</f>
        <v>322.22222222222223</v>
      </c>
      <c r="C5" s="86">
        <f>+'Datos Previsiones'!D30</f>
        <v>322.22222222222223</v>
      </c>
      <c r="D5" s="86">
        <f>+'Datos Previsiones'!E30</f>
        <v>322.22222222222223</v>
      </c>
      <c r="E5" s="86">
        <f>+'Datos Previsiones'!F30</f>
        <v>322.22222222222223</v>
      </c>
      <c r="F5" s="86">
        <f>+'Datos Previsiones'!G30</f>
        <v>322.22222222222223</v>
      </c>
      <c r="G5" s="86">
        <f>+'Datos Previsiones'!H30</f>
        <v>322.22222222222223</v>
      </c>
      <c r="H5" s="86">
        <f>+'Datos Previsiones'!I30</f>
        <v>322.22222222222223</v>
      </c>
      <c r="I5" s="86">
        <f>+'Datos Previsiones'!J30</f>
        <v>322.22222222222223</v>
      </c>
      <c r="J5" s="86">
        <f>+'Datos Previsiones'!K30</f>
        <v>322.22222222222223</v>
      </c>
      <c r="K5" s="86">
        <f>+'Datos Previsiones'!L30</f>
        <v>322.22222222222223</v>
      </c>
      <c r="L5" s="86">
        <f>+'Datos Previsiones'!M30</f>
        <v>322.22222222222223</v>
      </c>
      <c r="M5" s="86">
        <f>+'Datos Previsiones'!N30</f>
        <v>322.22222222222223</v>
      </c>
      <c r="N5" s="86">
        <f>SUM(B5:M5)</f>
        <v>3866.6666666666665</v>
      </c>
    </row>
    <row r="6" spans="1:14">
      <c r="A6" s="60" t="s">
        <v>48</v>
      </c>
      <c r="B6" s="86">
        <f>+'Datos Previsiones'!C31</f>
        <v>43.5</v>
      </c>
      <c r="C6" s="86">
        <f>+'Datos Previsiones'!D31</f>
        <v>43.5</v>
      </c>
      <c r="D6" s="86">
        <f>+'Datos Previsiones'!E31</f>
        <v>43.5</v>
      </c>
      <c r="E6" s="86">
        <f>+'Datos Previsiones'!F31</f>
        <v>43.5</v>
      </c>
      <c r="F6" s="86">
        <f>+'Datos Previsiones'!G31</f>
        <v>43.5</v>
      </c>
      <c r="G6" s="86">
        <f>+'Datos Previsiones'!H31</f>
        <v>43.5</v>
      </c>
      <c r="H6" s="86">
        <f>+'Datos Previsiones'!I31</f>
        <v>43.5</v>
      </c>
      <c r="I6" s="86">
        <f>+'Datos Previsiones'!J31</f>
        <v>43.5</v>
      </c>
      <c r="J6" s="86">
        <f>+'Datos Previsiones'!K31</f>
        <v>43.5</v>
      </c>
      <c r="K6" s="86">
        <f>+'Datos Previsiones'!L31</f>
        <v>43.5</v>
      </c>
      <c r="L6" s="86">
        <f>+'Datos Previsiones'!M31</f>
        <v>43.5</v>
      </c>
      <c r="M6" s="86">
        <f>+'Datos Previsiones'!N31</f>
        <v>43.5</v>
      </c>
      <c r="N6" s="87">
        <f>SUM(B6:M6)</f>
        <v>522</v>
      </c>
    </row>
    <row r="7" spans="1:14" ht="13.5" thickBot="1">
      <c r="A7" s="61" t="s">
        <v>49</v>
      </c>
      <c r="B7" s="88">
        <f>+B4+B5+B6</f>
        <v>958.19534050179209</v>
      </c>
      <c r="C7" s="88">
        <f t="shared" ref="C7:M7" si="0">+C4+C5+C6</f>
        <v>958.19534050179209</v>
      </c>
      <c r="D7" s="88">
        <f t="shared" si="0"/>
        <v>958.19534050179209</v>
      </c>
      <c r="E7" s="88">
        <f t="shared" si="0"/>
        <v>958.19534050179209</v>
      </c>
      <c r="F7" s="88">
        <f t="shared" si="0"/>
        <v>958.19534050179209</v>
      </c>
      <c r="G7" s="88">
        <f t="shared" si="0"/>
        <v>958.19534050179209</v>
      </c>
      <c r="H7" s="88">
        <f t="shared" si="0"/>
        <v>958.19534050179209</v>
      </c>
      <c r="I7" s="88">
        <f t="shared" si="0"/>
        <v>958.19534050179209</v>
      </c>
      <c r="J7" s="88">
        <f t="shared" si="0"/>
        <v>958.19534050179209</v>
      </c>
      <c r="K7" s="88">
        <f t="shared" si="0"/>
        <v>958.19534050179209</v>
      </c>
      <c r="L7" s="88">
        <f t="shared" si="0"/>
        <v>958.19534050179209</v>
      </c>
      <c r="M7" s="88">
        <f t="shared" si="0"/>
        <v>958.19534050179209</v>
      </c>
      <c r="N7" s="88">
        <f>+N4+N5+N6</f>
        <v>11498.344086021503</v>
      </c>
    </row>
    <row r="8" spans="1:14" ht="14.25" thickTop="1" thickBot="1">
      <c r="A8" s="61" t="s">
        <v>50</v>
      </c>
      <c r="B8" s="88">
        <f>+B3-B7</f>
        <v>491.80465949820791</v>
      </c>
      <c r="C8" s="88">
        <f t="shared" ref="C8:M8" si="1">+C3-C7</f>
        <v>491.80465949820791</v>
      </c>
      <c r="D8" s="88">
        <f t="shared" si="1"/>
        <v>491.80465949820791</v>
      </c>
      <c r="E8" s="88">
        <f t="shared" si="1"/>
        <v>491.80465949820791</v>
      </c>
      <c r="F8" s="88">
        <f t="shared" si="1"/>
        <v>491.80465949820791</v>
      </c>
      <c r="G8" s="88">
        <f t="shared" si="1"/>
        <v>491.80465949820791</v>
      </c>
      <c r="H8" s="88">
        <f t="shared" si="1"/>
        <v>491.80465949820791</v>
      </c>
      <c r="I8" s="88">
        <f t="shared" si="1"/>
        <v>491.80465949820791</v>
      </c>
      <c r="J8" s="88">
        <f t="shared" si="1"/>
        <v>491.80465949820791</v>
      </c>
      <c r="K8" s="88">
        <f t="shared" si="1"/>
        <v>491.80465949820791</v>
      </c>
      <c r="L8" s="88">
        <f t="shared" si="1"/>
        <v>491.80465949820791</v>
      </c>
      <c r="M8" s="88">
        <f t="shared" si="1"/>
        <v>491.80465949820791</v>
      </c>
      <c r="N8" s="88">
        <f t="shared" ref="N8:N22" si="2">SUM(B8:M8)</f>
        <v>5901.6559139784949</v>
      </c>
    </row>
    <row r="9" spans="1:14" ht="13.5" thickTop="1">
      <c r="A9" s="59" t="s">
        <v>51</v>
      </c>
      <c r="B9" s="86">
        <f>+'Datos Previsiones'!C32</f>
        <v>17.944659498207887</v>
      </c>
      <c r="C9" s="86">
        <f>+'Datos Previsiones'!D32</f>
        <v>17.944659498207887</v>
      </c>
      <c r="D9" s="86">
        <f>+'Datos Previsiones'!E32</f>
        <v>17.944659498207887</v>
      </c>
      <c r="E9" s="86">
        <f>+'Datos Previsiones'!F32</f>
        <v>17.944659498207887</v>
      </c>
      <c r="F9" s="86">
        <f>+'Datos Previsiones'!G32</f>
        <v>17.944659498207887</v>
      </c>
      <c r="G9" s="86">
        <f>+'Datos Previsiones'!H32</f>
        <v>17.944659498207887</v>
      </c>
      <c r="H9" s="86">
        <f>+'Datos Previsiones'!I32</f>
        <v>17.944659498207887</v>
      </c>
      <c r="I9" s="86">
        <f>+'Datos Previsiones'!J32</f>
        <v>17.944659498207887</v>
      </c>
      <c r="J9" s="86">
        <f>+'Datos Previsiones'!K32</f>
        <v>17.944659498207887</v>
      </c>
      <c r="K9" s="86">
        <f>+'Datos Previsiones'!L32</f>
        <v>17.944659498207887</v>
      </c>
      <c r="L9" s="86">
        <f>+'Datos Previsiones'!M32</f>
        <v>17.944659498207887</v>
      </c>
      <c r="M9" s="86">
        <f>+'Datos Previsiones'!N32</f>
        <v>17.944659498207887</v>
      </c>
      <c r="N9" s="86">
        <f t="shared" si="2"/>
        <v>215.33591397849469</v>
      </c>
    </row>
    <row r="10" spans="1:14">
      <c r="A10" s="59" t="s">
        <v>52</v>
      </c>
      <c r="B10" s="86">
        <f>+'Datos Previsiones'!C33</f>
        <v>29.93548387096774</v>
      </c>
      <c r="C10" s="86">
        <f>+'Datos Previsiones'!D33</f>
        <v>29.93548387096774</v>
      </c>
      <c r="D10" s="86">
        <f>+'Datos Previsiones'!E33</f>
        <v>29.93548387096774</v>
      </c>
      <c r="E10" s="86">
        <f>+'Datos Previsiones'!F33</f>
        <v>29.93548387096774</v>
      </c>
      <c r="F10" s="86">
        <f>+'Datos Previsiones'!G33</f>
        <v>29.93548387096774</v>
      </c>
      <c r="G10" s="86">
        <f>+'Datos Previsiones'!H33</f>
        <v>29.93548387096774</v>
      </c>
      <c r="H10" s="86">
        <f>+'Datos Previsiones'!I33</f>
        <v>29.93548387096774</v>
      </c>
      <c r="I10" s="86">
        <f>+'Datos Previsiones'!J33</f>
        <v>29.93548387096774</v>
      </c>
      <c r="J10" s="86">
        <f>+'Datos Previsiones'!K33</f>
        <v>29.93548387096774</v>
      </c>
      <c r="K10" s="86">
        <f>+'Datos Previsiones'!L33</f>
        <v>29.93548387096774</v>
      </c>
      <c r="L10" s="86">
        <f>+'Datos Previsiones'!M33</f>
        <v>29.93548387096774</v>
      </c>
      <c r="M10" s="86">
        <f>+'Datos Previsiones'!N33</f>
        <v>29.93548387096774</v>
      </c>
      <c r="N10" s="86">
        <f t="shared" si="2"/>
        <v>359.22580645161287</v>
      </c>
    </row>
    <row r="11" spans="1:14">
      <c r="A11" s="59" t="s">
        <v>53</v>
      </c>
      <c r="B11" s="86">
        <f>+'Datos Previsiones'!C34</f>
        <v>4.6399999999999997</v>
      </c>
      <c r="C11" s="86">
        <f>+'Datos Previsiones'!D34</f>
        <v>4.6399999999999997</v>
      </c>
      <c r="D11" s="86">
        <f>+'Datos Previsiones'!E34</f>
        <v>4.6399999999999997</v>
      </c>
      <c r="E11" s="86">
        <f>+'Datos Previsiones'!F34</f>
        <v>4.6399999999999997</v>
      </c>
      <c r="F11" s="86">
        <f>+'Datos Previsiones'!G34</f>
        <v>4.6399999999999997</v>
      </c>
      <c r="G11" s="86">
        <f>+'Datos Previsiones'!H34</f>
        <v>4.6399999999999997</v>
      </c>
      <c r="H11" s="86">
        <f>+'Datos Previsiones'!I34</f>
        <v>4.6399999999999997</v>
      </c>
      <c r="I11" s="86">
        <f>+'Datos Previsiones'!J34</f>
        <v>4.6399999999999997</v>
      </c>
      <c r="J11" s="86">
        <f>+'Datos Previsiones'!K34</f>
        <v>4.6399999999999997</v>
      </c>
      <c r="K11" s="86">
        <f>+'Datos Previsiones'!L34</f>
        <v>4.6399999999999997</v>
      </c>
      <c r="L11" s="86">
        <f>+'Datos Previsiones'!M34</f>
        <v>4.6399999999999997</v>
      </c>
      <c r="M11" s="86">
        <f>+'Datos Previsiones'!N34</f>
        <v>4.6399999999999997</v>
      </c>
      <c r="N11" s="86">
        <f t="shared" si="2"/>
        <v>55.68</v>
      </c>
    </row>
    <row r="12" spans="1:14">
      <c r="A12" s="59" t="s">
        <v>54</v>
      </c>
      <c r="B12" s="86">
        <f>+'Datos Previsiones'!C35</f>
        <v>15.466666666666669</v>
      </c>
      <c r="C12" s="86">
        <f>+'Datos Previsiones'!D35</f>
        <v>15.466666666666669</v>
      </c>
      <c r="D12" s="86">
        <f>+'Datos Previsiones'!E35</f>
        <v>15.466666666666669</v>
      </c>
      <c r="E12" s="86">
        <f>+'Datos Previsiones'!F35</f>
        <v>15.466666666666669</v>
      </c>
      <c r="F12" s="86">
        <f>+'Datos Previsiones'!G35</f>
        <v>15.466666666666669</v>
      </c>
      <c r="G12" s="86">
        <f>+'Datos Previsiones'!H35</f>
        <v>15.466666666666669</v>
      </c>
      <c r="H12" s="86">
        <f>+'Datos Previsiones'!I35</f>
        <v>15.466666666666669</v>
      </c>
      <c r="I12" s="86">
        <f>+'Datos Previsiones'!J35</f>
        <v>15.466666666666669</v>
      </c>
      <c r="J12" s="86">
        <f>+'Datos Previsiones'!K35</f>
        <v>15.466666666666669</v>
      </c>
      <c r="K12" s="86">
        <f>+'Datos Previsiones'!L35</f>
        <v>15.466666666666669</v>
      </c>
      <c r="L12" s="86">
        <f>+'Datos Previsiones'!M35</f>
        <v>15.466666666666669</v>
      </c>
      <c r="M12" s="86">
        <f>+'Datos Previsiones'!N35</f>
        <v>15.466666666666669</v>
      </c>
      <c r="N12" s="86">
        <f t="shared" si="2"/>
        <v>185.60000000000002</v>
      </c>
    </row>
    <row r="13" spans="1:14">
      <c r="A13" s="59" t="s">
        <v>55</v>
      </c>
      <c r="B13" s="86">
        <f>+'Datos Previsiones'!C36</f>
        <v>17.607885304659497</v>
      </c>
      <c r="C13" s="86">
        <f>+'Datos Previsiones'!D36</f>
        <v>17.607885304659497</v>
      </c>
      <c r="D13" s="86">
        <f>+'Datos Previsiones'!E36</f>
        <v>17.607885304659497</v>
      </c>
      <c r="E13" s="86">
        <f>+'Datos Previsiones'!F36</f>
        <v>17.607885304659497</v>
      </c>
      <c r="F13" s="86">
        <f>+'Datos Previsiones'!G36</f>
        <v>17.607885304659497</v>
      </c>
      <c r="G13" s="86">
        <f>+'Datos Previsiones'!H36</f>
        <v>17.607885304659497</v>
      </c>
      <c r="H13" s="86">
        <f>+'Datos Previsiones'!I36</f>
        <v>17.607885304659497</v>
      </c>
      <c r="I13" s="86">
        <f>+'Datos Previsiones'!J36</f>
        <v>17.607885304659497</v>
      </c>
      <c r="J13" s="86">
        <f>+'Datos Previsiones'!K36</f>
        <v>17.607885304659497</v>
      </c>
      <c r="K13" s="86">
        <f>+'Datos Previsiones'!L36</f>
        <v>17.607885304659497</v>
      </c>
      <c r="L13" s="86">
        <f>+'Datos Previsiones'!M36</f>
        <v>17.607885304659497</v>
      </c>
      <c r="M13" s="86">
        <f>+'Datos Previsiones'!N36</f>
        <v>17.607885304659497</v>
      </c>
      <c r="N13" s="86">
        <f t="shared" si="2"/>
        <v>211.29462365591402</v>
      </c>
    </row>
    <row r="14" spans="1:14">
      <c r="A14" s="59" t="s">
        <v>56</v>
      </c>
      <c r="B14" s="86">
        <f>+'Gtos de personal'!B5</f>
        <v>300</v>
      </c>
      <c r="C14" s="86">
        <f>+'Gtos de personal'!C5</f>
        <v>300</v>
      </c>
      <c r="D14" s="86">
        <f>+'Gtos de personal'!D5</f>
        <v>300</v>
      </c>
      <c r="E14" s="86">
        <f>+'Gtos de personal'!E5</f>
        <v>300</v>
      </c>
      <c r="F14" s="86">
        <f>+'Gtos de personal'!F5</f>
        <v>300</v>
      </c>
      <c r="G14" s="86">
        <f>+'Gtos de personal'!G5</f>
        <v>300</v>
      </c>
      <c r="H14" s="86">
        <f>+'Gtos de personal'!H5</f>
        <v>300</v>
      </c>
      <c r="I14" s="86">
        <f>+'Gtos de personal'!I5</f>
        <v>300</v>
      </c>
      <c r="J14" s="86">
        <f>+'Gtos de personal'!J5</f>
        <v>300</v>
      </c>
      <c r="K14" s="86">
        <f>+'Gtos de personal'!K5</f>
        <v>300</v>
      </c>
      <c r="L14" s="86">
        <f>+'Gtos de personal'!L5</f>
        <v>300</v>
      </c>
      <c r="M14" s="86">
        <f>+'Gtos de personal'!M5</f>
        <v>300</v>
      </c>
      <c r="N14" s="86">
        <f t="shared" si="2"/>
        <v>3600</v>
      </c>
    </row>
    <row r="15" spans="1:14" ht="13.5" thickBot="1">
      <c r="A15" s="61" t="s">
        <v>289</v>
      </c>
      <c r="B15" s="86">
        <f>+'Gtos de personal'!B6</f>
        <v>246.4</v>
      </c>
      <c r="C15" s="86">
        <f>+'Gtos de personal'!C6</f>
        <v>246.4</v>
      </c>
      <c r="D15" s="86">
        <f>+'Gtos de personal'!D6</f>
        <v>246.4</v>
      </c>
      <c r="E15" s="86">
        <f>+'Gtos de personal'!E6</f>
        <v>246.4</v>
      </c>
      <c r="F15" s="86">
        <f>+'Gtos de personal'!F6</f>
        <v>246.4</v>
      </c>
      <c r="G15" s="86">
        <f>+'Gtos de personal'!G6</f>
        <v>246.4</v>
      </c>
      <c r="H15" s="86">
        <f>+'Gtos de personal'!H6</f>
        <v>246.4</v>
      </c>
      <c r="I15" s="86">
        <f>+'Gtos de personal'!I6</f>
        <v>246.4</v>
      </c>
      <c r="J15" s="86">
        <f>+'Gtos de personal'!J6</f>
        <v>246.4</v>
      </c>
      <c r="K15" s="86">
        <f>+'Gtos de personal'!K6</f>
        <v>246.4</v>
      </c>
      <c r="L15" s="86">
        <f>+'Gtos de personal'!L6</f>
        <v>246.4</v>
      </c>
      <c r="M15" s="86">
        <f>+'Gtos de personal'!M6</f>
        <v>246.4</v>
      </c>
      <c r="N15" s="88">
        <f t="shared" si="2"/>
        <v>2956.8000000000006</v>
      </c>
    </row>
    <row r="16" spans="1:14" ht="14.25" thickTop="1" thickBot="1">
      <c r="A16" s="62" t="s">
        <v>57</v>
      </c>
      <c r="B16" s="89">
        <f>B8+B9-SUM(B10:B15)</f>
        <v>-104.30071684587813</v>
      </c>
      <c r="C16" s="89">
        <f t="shared" ref="C16:M16" si="3">C8+C9-SUM(C10:C15)</f>
        <v>-104.30071684587813</v>
      </c>
      <c r="D16" s="89">
        <f t="shared" si="3"/>
        <v>-104.30071684587813</v>
      </c>
      <c r="E16" s="89">
        <f t="shared" si="3"/>
        <v>-104.30071684587813</v>
      </c>
      <c r="F16" s="89">
        <f t="shared" si="3"/>
        <v>-104.30071684587813</v>
      </c>
      <c r="G16" s="89">
        <f t="shared" si="3"/>
        <v>-104.30071684587813</v>
      </c>
      <c r="H16" s="89">
        <f t="shared" si="3"/>
        <v>-104.30071684587813</v>
      </c>
      <c r="I16" s="89">
        <f t="shared" si="3"/>
        <v>-104.30071684587813</v>
      </c>
      <c r="J16" s="89">
        <f t="shared" si="3"/>
        <v>-104.30071684587813</v>
      </c>
      <c r="K16" s="89">
        <f t="shared" si="3"/>
        <v>-104.30071684587813</v>
      </c>
      <c r="L16" s="89">
        <f t="shared" si="3"/>
        <v>-104.30071684587813</v>
      </c>
      <c r="M16" s="89">
        <f t="shared" si="3"/>
        <v>-104.30071684587813</v>
      </c>
      <c r="N16" s="89">
        <f t="shared" si="2"/>
        <v>-1251.6086021505375</v>
      </c>
    </row>
    <row r="17" spans="1:15" ht="14.25" thickTop="1" thickBot="1">
      <c r="A17" s="61" t="s">
        <v>102</v>
      </c>
      <c r="B17" s="88">
        <f>+'Datos Previsiones'!$C$40*Balance!C5/12</f>
        <v>0</v>
      </c>
      <c r="C17" s="88">
        <f>+'Datos Previsiones'!$C$40*Balance!D5/12</f>
        <v>0</v>
      </c>
      <c r="D17" s="88">
        <f>+'Datos Previsiones'!$C$40*Balance!E5/12</f>
        <v>0</v>
      </c>
      <c r="E17" s="88">
        <f>+'Datos Previsiones'!$C$40*Balance!F5/12</f>
        <v>0</v>
      </c>
      <c r="F17" s="88">
        <f>+'Datos Previsiones'!$C$40*Balance!G5/12</f>
        <v>0</v>
      </c>
      <c r="G17" s="88">
        <f>+'Datos Previsiones'!$C$40*Balance!H5/12</f>
        <v>0</v>
      </c>
      <c r="H17" s="88">
        <f>+'Datos Previsiones'!$C$40*Balance!I5/12</f>
        <v>0</v>
      </c>
      <c r="I17" s="88">
        <f>+'Datos Previsiones'!$C$40*Balance!J5/12</f>
        <v>0</v>
      </c>
      <c r="J17" s="88">
        <f>+'Datos Previsiones'!$C$40*Balance!K5/12</f>
        <v>0</v>
      </c>
      <c r="K17" s="88">
        <f>+'Datos Previsiones'!$C$40*Balance!L5/12</f>
        <v>0</v>
      </c>
      <c r="L17" s="88">
        <f>+'Datos Previsiones'!$C$40*Balance!M5/12</f>
        <v>0</v>
      </c>
      <c r="M17" s="88">
        <f>+'Datos Previsiones'!$C$40*Balance!N5/12</f>
        <v>0</v>
      </c>
      <c r="N17" s="88">
        <f>+'Datos Previsiones'!$C$40*Balance!O5/12</f>
        <v>0</v>
      </c>
    </row>
    <row r="18" spans="1:15" ht="14.25" thickTop="1" thickBot="1">
      <c r="A18" s="61" t="s">
        <v>58</v>
      </c>
      <c r="B18" s="88">
        <f>+B16-B17</f>
        <v>-104.30071684587813</v>
      </c>
      <c r="C18" s="88">
        <f t="shared" ref="C18:M18" si="4">+C16-C17</f>
        <v>-104.30071684587813</v>
      </c>
      <c r="D18" s="88">
        <f t="shared" si="4"/>
        <v>-104.30071684587813</v>
      </c>
      <c r="E18" s="88">
        <f t="shared" si="4"/>
        <v>-104.30071684587813</v>
      </c>
      <c r="F18" s="88">
        <f t="shared" si="4"/>
        <v>-104.30071684587813</v>
      </c>
      <c r="G18" s="88">
        <f t="shared" si="4"/>
        <v>-104.30071684587813</v>
      </c>
      <c r="H18" s="88">
        <f t="shared" si="4"/>
        <v>-104.30071684587813</v>
      </c>
      <c r="I18" s="88">
        <f t="shared" si="4"/>
        <v>-104.30071684587813</v>
      </c>
      <c r="J18" s="88">
        <f t="shared" si="4"/>
        <v>-104.30071684587813</v>
      </c>
      <c r="K18" s="88">
        <f t="shared" si="4"/>
        <v>-104.30071684587813</v>
      </c>
      <c r="L18" s="88">
        <f t="shared" si="4"/>
        <v>-104.30071684587813</v>
      </c>
      <c r="M18" s="88">
        <f t="shared" si="4"/>
        <v>-104.30071684587813</v>
      </c>
      <c r="N18" s="88">
        <f t="shared" si="2"/>
        <v>-1251.6086021505375</v>
      </c>
    </row>
    <row r="19" spans="1:15" ht="13.5" thickTop="1">
      <c r="A19" s="59" t="s">
        <v>59</v>
      </c>
      <c r="B19" s="86">
        <f>+'Datos Previsiones'!C23+'Financiación corto'!B37</f>
        <v>0.83333333333333337</v>
      </c>
      <c r="C19" s="86">
        <f>+'Datos Previsiones'!D23+'Financiación corto'!C37</f>
        <v>0.83333333333333337</v>
      </c>
      <c r="D19" s="86">
        <f>+'Datos Previsiones'!E23+'Financiación corto'!D37</f>
        <v>0.83333333333333337</v>
      </c>
      <c r="E19" s="86">
        <f>+'Datos Previsiones'!F23+'Financiación corto'!E37</f>
        <v>0.83333333333333337</v>
      </c>
      <c r="F19" s="86">
        <f>+'Datos Previsiones'!G23+'Financiación corto'!F37</f>
        <v>0.83333333333333337</v>
      </c>
      <c r="G19" s="86">
        <f>+'Datos Previsiones'!H23+'Financiación corto'!G37</f>
        <v>0.83333333333333337</v>
      </c>
      <c r="H19" s="86">
        <f>+'Datos Previsiones'!I23+'Financiación corto'!H37</f>
        <v>0.83333333333333337</v>
      </c>
      <c r="I19" s="86">
        <f>+'Datos Previsiones'!J23+'Financiación corto'!I37</f>
        <v>0.83333333333333337</v>
      </c>
      <c r="J19" s="86">
        <f>+'Datos Previsiones'!K23+'Financiación corto'!J37</f>
        <v>0.83333333333333337</v>
      </c>
      <c r="K19" s="86">
        <f>+'Datos Previsiones'!L23+'Financiación corto'!K37</f>
        <v>0.83333333333333337</v>
      </c>
      <c r="L19" s="86">
        <f>+'Datos Previsiones'!M23+'Financiación corto'!L37</f>
        <v>0.83333333333333337</v>
      </c>
      <c r="M19" s="86">
        <f>+'Datos Previsiones'!N23+'Financiación corto'!M37</f>
        <v>0.83333333333333337</v>
      </c>
      <c r="N19" s="86">
        <f t="shared" si="2"/>
        <v>10</v>
      </c>
    </row>
    <row r="20" spans="1:15">
      <c r="A20" s="59" t="s">
        <v>60</v>
      </c>
      <c r="B20" s="86">
        <f>+'Financiación corto'!B27</f>
        <v>0</v>
      </c>
      <c r="C20" s="86">
        <f>+'Financiación corto'!C27</f>
        <v>0</v>
      </c>
      <c r="D20" s="86">
        <f>+'Financiación corto'!D27</f>
        <v>0</v>
      </c>
      <c r="E20" s="86">
        <f>+'Financiación corto'!E27</f>
        <v>0</v>
      </c>
      <c r="F20" s="86">
        <f>+'Financiación corto'!F27</f>
        <v>0</v>
      </c>
      <c r="G20" s="86">
        <f>+'Financiación corto'!G27</f>
        <v>0</v>
      </c>
      <c r="H20" s="86">
        <f>+'Financiación corto'!H27</f>
        <v>0</v>
      </c>
      <c r="I20" s="86">
        <f>+'Financiación corto'!I27</f>
        <v>0</v>
      </c>
      <c r="J20" s="86">
        <f>+'Financiación corto'!J27</f>
        <v>0</v>
      </c>
      <c r="K20" s="86">
        <f>+'Financiación corto'!K27</f>
        <v>0</v>
      </c>
      <c r="L20" s="86">
        <f>+'Financiación corto'!L27</f>
        <v>0</v>
      </c>
      <c r="M20" s="86">
        <f>+'Financiación corto'!M27</f>
        <v>0</v>
      </c>
      <c r="N20" s="86">
        <f>SUM(B20:M20)</f>
        <v>0</v>
      </c>
    </row>
    <row r="21" spans="1:15" ht="13.5" thickBot="1">
      <c r="A21" s="61" t="s">
        <v>61</v>
      </c>
      <c r="B21" s="88">
        <f>+Prestamos!C14+'Financiación corto'!B30+'Financiación corto'!B45</f>
        <v>6.25</v>
      </c>
      <c r="C21" s="88">
        <f>+Prestamos!D14+'Financiación corto'!C30+'Financiación corto'!C45</f>
        <v>6.1350532091680989</v>
      </c>
      <c r="D21" s="88">
        <f>+Prestamos!E14+'Financiación corto'!D30+'Financiación corto'!D45</f>
        <v>6.0195077371339485</v>
      </c>
      <c r="E21" s="88">
        <f>+Prestamos!F14+'Financiación corto'!E30+'Financiación corto'!E45</f>
        <v>5.903360465766287</v>
      </c>
      <c r="F21" s="88">
        <f>+Prestamos!G14+'Financiación corto'!F30+'Financiación corto'!F45</f>
        <v>5.786608260693586</v>
      </c>
      <c r="G21" s="88">
        <f>+Prestamos!H14+'Financiación corto'!G30+'Financiación corto'!G45</f>
        <v>5.6692479712194634</v>
      </c>
      <c r="H21" s="88">
        <f>+Prestamos!I14+'Financiación corto'!H30+'Financiación corto'!H45</f>
        <v>5.5512764302376638</v>
      </c>
      <c r="I21" s="88">
        <f>+Prestamos!J14+'Financiación corto'!I30+'Financiación corto'!I45</f>
        <v>5.4326904541465844</v>
      </c>
      <c r="J21" s="88">
        <f>+Prestamos!K14+'Financiación corto'!J30+'Financiación corto'!J45</f>
        <v>5.3134868427633632</v>
      </c>
      <c r="K21" s="88">
        <f>+Prestamos!L14+'Financiación corto'!K30+'Financiación corto'!K45</f>
        <v>5.1936623792375221</v>
      </c>
      <c r="L21" s="88">
        <f>+Prestamos!M14+'Financiación corto'!L30+'Financiación corto'!L45</f>
        <v>5.0732138299641498</v>
      </c>
      <c r="M21" s="88">
        <f>+Prestamos!N14+'Financiación corto'!M30+'Financiación corto'!M45</f>
        <v>4.9521379444966458</v>
      </c>
      <c r="N21" s="88">
        <f t="shared" si="2"/>
        <v>67.280245524827308</v>
      </c>
    </row>
    <row r="22" spans="1:15" ht="14.25" thickTop="1" thickBot="1">
      <c r="A22" s="61" t="s">
        <v>62</v>
      </c>
      <c r="B22" s="88">
        <f>+('Datos Previsiones'!C13-('Datos Previsiones'!C14-'Datos Previsiones'!C15))</f>
        <v>0</v>
      </c>
      <c r="C22" s="88">
        <f>+('Datos Previsiones'!D13-('Datos Previsiones'!D14-'Datos Previsiones'!D15))</f>
        <v>0</v>
      </c>
      <c r="D22" s="88">
        <f>+('Datos Previsiones'!E13-('Datos Previsiones'!E14-'Datos Previsiones'!E15))</f>
        <v>0</v>
      </c>
      <c r="E22" s="88">
        <f>+('Datos Previsiones'!F13-('Datos Previsiones'!F14-'Datos Previsiones'!F15))</f>
        <v>0</v>
      </c>
      <c r="F22" s="88">
        <f>+('Datos Previsiones'!G13-('Datos Previsiones'!G14-'Datos Previsiones'!G15))</f>
        <v>0</v>
      </c>
      <c r="G22" s="88">
        <f>+('Datos Previsiones'!H13-('Datos Previsiones'!H14-'Datos Previsiones'!H15))</f>
        <v>-10</v>
      </c>
      <c r="H22" s="88">
        <f>+('Datos Previsiones'!I13-('Datos Previsiones'!I14-'Datos Previsiones'!I15))</f>
        <v>0</v>
      </c>
      <c r="I22" s="88">
        <f>+('Datos Previsiones'!J13-('Datos Previsiones'!J14-'Datos Previsiones'!J15))</f>
        <v>0</v>
      </c>
      <c r="J22" s="88">
        <f>+('Datos Previsiones'!K13-('Datos Previsiones'!K14-'Datos Previsiones'!K15))</f>
        <v>0</v>
      </c>
      <c r="K22" s="88">
        <f>+('Datos Previsiones'!L13-('Datos Previsiones'!L14-'Datos Previsiones'!L15))</f>
        <v>0</v>
      </c>
      <c r="L22" s="88">
        <f>+('Datos Previsiones'!M13-('Datos Previsiones'!M14-'Datos Previsiones'!M15))</f>
        <v>0</v>
      </c>
      <c r="M22" s="88">
        <f>+('Datos Previsiones'!N13-('Datos Previsiones'!N14-'Datos Previsiones'!N15))</f>
        <v>0</v>
      </c>
      <c r="N22" s="88">
        <f t="shared" si="2"/>
        <v>-10</v>
      </c>
    </row>
    <row r="23" spans="1:15" ht="14.25" thickTop="1" thickBot="1">
      <c r="A23" s="62" t="s">
        <v>63</v>
      </c>
      <c r="B23" s="89">
        <f>+B18+B19-B20-B21+B22</f>
        <v>-109.7173835125448</v>
      </c>
      <c r="C23" s="89">
        <f t="shared" ref="C23:M23" si="5">+C18+C19-C20-C21+C22</f>
        <v>-109.60243672171291</v>
      </c>
      <c r="D23" s="89">
        <f t="shared" si="5"/>
        <v>-109.48689124967875</v>
      </c>
      <c r="E23" s="89">
        <f t="shared" si="5"/>
        <v>-109.37074397831108</v>
      </c>
      <c r="F23" s="89">
        <f t="shared" si="5"/>
        <v>-109.25399177323838</v>
      </c>
      <c r="G23" s="89">
        <f t="shared" si="5"/>
        <v>-119.13663148376426</v>
      </c>
      <c r="H23" s="89">
        <f t="shared" si="5"/>
        <v>-109.01865994278246</v>
      </c>
      <c r="I23" s="89">
        <f t="shared" si="5"/>
        <v>-108.90007396669138</v>
      </c>
      <c r="J23" s="89">
        <f t="shared" si="5"/>
        <v>-108.78087035530817</v>
      </c>
      <c r="K23" s="89">
        <f t="shared" si="5"/>
        <v>-108.66104589178232</v>
      </c>
      <c r="L23" s="89">
        <f t="shared" si="5"/>
        <v>-108.54059734250895</v>
      </c>
      <c r="M23" s="89">
        <f t="shared" si="5"/>
        <v>-108.41952145704144</v>
      </c>
      <c r="N23" s="89">
        <f>SUM(B23:M23)</f>
        <v>-1318.8888476753648</v>
      </c>
    </row>
    <row r="24" spans="1:15" ht="14.25" thickTop="1" thickBot="1">
      <c r="A24" s="62" t="s">
        <v>88</v>
      </c>
      <c r="B24" s="89">
        <f>+B23</f>
        <v>-109.7173835125448</v>
      </c>
      <c r="C24" s="89">
        <f>++B24+C23</f>
        <v>-219.31982023425769</v>
      </c>
      <c r="D24" s="89">
        <f t="shared" ref="D24:M24" si="6">++C24+D23</f>
        <v>-328.80671148393645</v>
      </c>
      <c r="E24" s="89">
        <f t="shared" si="6"/>
        <v>-438.17745546224751</v>
      </c>
      <c r="F24" s="89">
        <f t="shared" si="6"/>
        <v>-547.43144723548585</v>
      </c>
      <c r="G24" s="89">
        <f t="shared" si="6"/>
        <v>-666.56807871925014</v>
      </c>
      <c r="H24" s="89">
        <f t="shared" si="6"/>
        <v>-775.58673866203264</v>
      </c>
      <c r="I24" s="89">
        <f t="shared" si="6"/>
        <v>-884.48681262872401</v>
      </c>
      <c r="J24" s="89">
        <f t="shared" si="6"/>
        <v>-993.26768298403215</v>
      </c>
      <c r="K24" s="89">
        <f t="shared" si="6"/>
        <v>-1101.9287288758144</v>
      </c>
      <c r="L24" s="89">
        <f t="shared" si="6"/>
        <v>-1210.4693262183234</v>
      </c>
      <c r="M24" s="89">
        <f t="shared" si="6"/>
        <v>-1318.8888476753648</v>
      </c>
      <c r="N24" s="89"/>
      <c r="O24" s="3"/>
    </row>
    <row r="25" spans="1:15" ht="14.25" thickTop="1" thickBot="1">
      <c r="A25" s="62" t="s">
        <v>105</v>
      </c>
      <c r="B25" s="89"/>
      <c r="C25" s="89"/>
      <c r="D25" s="89"/>
      <c r="E25" s="89"/>
      <c r="F25" s="89"/>
      <c r="G25" s="89"/>
      <c r="H25" s="89"/>
      <c r="I25" s="89"/>
      <c r="J25" s="89"/>
      <c r="K25" s="89"/>
      <c r="L25" s="89"/>
      <c r="M25" s="89">
        <f>+M24*'Datos Previsiones'!C42</f>
        <v>0</v>
      </c>
      <c r="N25" s="89"/>
      <c r="O25" s="3"/>
    </row>
    <row r="26" spans="1:15" ht="14.25" thickTop="1" thickBot="1">
      <c r="A26" s="62" t="s">
        <v>106</v>
      </c>
      <c r="B26" s="89">
        <f>+B24-B25</f>
        <v>-109.7173835125448</v>
      </c>
      <c r="C26" s="89">
        <f t="shared" ref="C26:M26" si="7">+C24-C25</f>
        <v>-219.31982023425769</v>
      </c>
      <c r="D26" s="89">
        <f t="shared" si="7"/>
        <v>-328.80671148393645</v>
      </c>
      <c r="E26" s="89">
        <f t="shared" si="7"/>
        <v>-438.17745546224751</v>
      </c>
      <c r="F26" s="89">
        <f t="shared" si="7"/>
        <v>-547.43144723548585</v>
      </c>
      <c r="G26" s="89">
        <f t="shared" si="7"/>
        <v>-666.56807871925014</v>
      </c>
      <c r="H26" s="89">
        <f t="shared" si="7"/>
        <v>-775.58673866203264</v>
      </c>
      <c r="I26" s="89">
        <f t="shared" si="7"/>
        <v>-884.48681262872401</v>
      </c>
      <c r="J26" s="89">
        <f t="shared" si="7"/>
        <v>-993.26768298403215</v>
      </c>
      <c r="K26" s="89">
        <f t="shared" si="7"/>
        <v>-1101.9287288758144</v>
      </c>
      <c r="L26" s="89">
        <f t="shared" si="7"/>
        <v>-1210.4693262183234</v>
      </c>
      <c r="M26" s="89">
        <f t="shared" si="7"/>
        <v>-1318.8888476753648</v>
      </c>
      <c r="N26" s="89"/>
      <c r="O26" s="3"/>
    </row>
    <row r="27" spans="1:15" ht="13.5" thickTop="1"/>
    <row r="28" spans="1:15">
      <c r="A28" s="1" t="s">
        <v>37</v>
      </c>
      <c r="B28" s="18">
        <f>+B4+B5+Balance!D9-Balance!C9+Balance!D8-Balance!C8</f>
        <v>1827.8637992831541</v>
      </c>
      <c r="C28" s="18">
        <f>+C4+C5+Balance!E9-Balance!D9+Balance!E8-Balance!D8</f>
        <v>914.69534050179209</v>
      </c>
      <c r="D28" s="18">
        <f>+D4+D5+Balance!F9-Balance!E9+Balance!F8-Balance!E8</f>
        <v>914.69534050179209</v>
      </c>
      <c r="E28" s="18">
        <f>+E4+E5+Balance!G9-Balance!F9+Balance!G8-Balance!F8</f>
        <v>914.69534050179209</v>
      </c>
      <c r="F28" s="18">
        <f>+F4+F5+Balance!H9-Balance!G9+Balance!H8-Balance!G8</f>
        <v>914.69534050179209</v>
      </c>
      <c r="G28" s="18">
        <f>+G4+G5+Balance!I9-Balance!H9+Balance!I8-Balance!H8</f>
        <v>914.69534050179209</v>
      </c>
      <c r="H28" s="18">
        <f>+H4+H5+Balance!J9-Balance!I9+Balance!J8-Balance!I8</f>
        <v>914.69534050179209</v>
      </c>
      <c r="I28" s="18">
        <f>+I4+I5+Balance!K9-Balance!J9+Balance!K8-Balance!J8</f>
        <v>914.69534050179209</v>
      </c>
      <c r="J28" s="18">
        <f>+J4+J5+Balance!L9-Balance!K9+Balance!L8-Balance!K8</f>
        <v>914.69534050179209</v>
      </c>
      <c r="K28" s="18">
        <f>+K4+K5+Balance!M9-Balance!L9+Balance!M8-Balance!L8</f>
        <v>914.69534050179209</v>
      </c>
      <c r="L28" s="18">
        <f>+L4+L5+Balance!N9-Balance!M9+Balance!N8-Balance!M8</f>
        <v>914.69534050179209</v>
      </c>
      <c r="M28" s="18">
        <f>+M4+M5+Balance!O9-Balance!N9+Balance!O8-Balance!N8</f>
        <v>914.69534050179209</v>
      </c>
    </row>
    <row r="33" spans="2:5" ht="26.25">
      <c r="E33" s="46"/>
    </row>
    <row r="34" spans="2:5" ht="26.25">
      <c r="B34" s="46"/>
    </row>
  </sheetData>
  <phoneticPr fontId="1"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Hoja2"/>
  <dimension ref="A2:N51"/>
  <sheetViews>
    <sheetView showGridLines="0" topLeftCell="A8" zoomScale="75" workbookViewId="0">
      <selection activeCell="K40" sqref="K40"/>
    </sheetView>
  </sheetViews>
  <sheetFormatPr baseColWidth="10" defaultRowHeight="12.75"/>
  <cols>
    <col min="1" max="1" width="38.7109375" style="2" customWidth="1"/>
    <col min="2" max="13" width="13.28515625" style="4" customWidth="1"/>
    <col min="14" max="16384" width="11.42578125" style="2"/>
  </cols>
  <sheetData>
    <row r="2" spans="1:14" ht="26.25">
      <c r="B2" s="65"/>
    </row>
    <row r="3" spans="1:14" ht="13.5" thickBot="1"/>
    <row r="4" spans="1:14">
      <c r="A4" s="24"/>
      <c r="B4" s="8" t="s">
        <v>1</v>
      </c>
      <c r="C4" s="8" t="s">
        <v>3</v>
      </c>
      <c r="D4" s="8" t="s">
        <v>4</v>
      </c>
      <c r="E4" s="8" t="s">
        <v>5</v>
      </c>
      <c r="F4" s="8" t="s">
        <v>6</v>
      </c>
      <c r="G4" s="8" t="s">
        <v>7</v>
      </c>
      <c r="H4" s="8" t="s">
        <v>8</v>
      </c>
      <c r="I4" s="8" t="s">
        <v>9</v>
      </c>
      <c r="J4" s="8" t="s">
        <v>10</v>
      </c>
      <c r="K4" s="8" t="s">
        <v>11</v>
      </c>
      <c r="L4" s="8" t="s">
        <v>12</v>
      </c>
      <c r="M4" s="9" t="s">
        <v>13</v>
      </c>
    </row>
    <row r="5" spans="1:14">
      <c r="A5" s="40" t="s">
        <v>20</v>
      </c>
      <c r="B5" s="1">
        <f>+Balance!C12</f>
        <v>315</v>
      </c>
      <c r="C5" s="1">
        <f t="shared" ref="C5:M5" si="0">+B49</f>
        <v>-104.48615610330364</v>
      </c>
      <c r="D5" s="1">
        <f t="shared" si="0"/>
        <v>-1984.0375093392247</v>
      </c>
      <c r="E5" s="1">
        <f t="shared" si="0"/>
        <v>-2707.4050274496967</v>
      </c>
      <c r="F5" s="1">
        <f t="shared" si="0"/>
        <v>-2700.9944810440402</v>
      </c>
      <c r="G5" s="1">
        <f t="shared" si="0"/>
        <v>-2694.5839346383837</v>
      </c>
      <c r="H5" s="1">
        <f t="shared" si="0"/>
        <v>-2130.2437769837607</v>
      </c>
      <c r="I5" s="1">
        <f t="shared" si="0"/>
        <v>-2212.6452864920825</v>
      </c>
      <c r="J5" s="1">
        <f t="shared" si="0"/>
        <v>-2206.2347400864255</v>
      </c>
      <c r="K5" s="1">
        <f t="shared" si="0"/>
        <v>-2199.824193680769</v>
      </c>
      <c r="L5" s="1">
        <f t="shared" si="0"/>
        <v>-2485.9523634041448</v>
      </c>
      <c r="M5" s="13">
        <f t="shared" si="0"/>
        <v>-2479.5418169984878</v>
      </c>
    </row>
    <row r="6" spans="1:14" s="25" customFormat="1" ht="13.5" thickBot="1">
      <c r="A6" s="3"/>
      <c r="B6" s="3"/>
      <c r="C6" s="3"/>
      <c r="D6" s="3"/>
      <c r="E6" s="3"/>
      <c r="F6" s="3"/>
      <c r="G6" s="3"/>
      <c r="H6" s="3"/>
      <c r="I6" s="3"/>
      <c r="J6" s="3"/>
      <c r="K6" s="3"/>
      <c r="L6" s="3"/>
      <c r="M6" s="3"/>
    </row>
    <row r="7" spans="1:14">
      <c r="A7" s="29" t="s">
        <v>26</v>
      </c>
      <c r="B7" s="26"/>
      <c r="C7" s="26"/>
      <c r="D7" s="26"/>
      <c r="E7" s="26"/>
      <c r="F7" s="26"/>
      <c r="G7" s="26"/>
      <c r="H7" s="26"/>
      <c r="I7" s="26"/>
      <c r="J7" s="26"/>
      <c r="K7" s="26"/>
      <c r="L7" s="26"/>
      <c r="M7" s="23"/>
    </row>
    <row r="8" spans="1:14">
      <c r="A8" s="30" t="s">
        <v>36</v>
      </c>
      <c r="B8" s="7">
        <f>+B9+B10</f>
        <v>221.71303799283154</v>
      </c>
      <c r="C8" s="7">
        <f t="shared" ref="C8:M8" si="1">+C9+C10</f>
        <v>1073.9630379928315</v>
      </c>
      <c r="D8" s="7">
        <f t="shared" si="1"/>
        <v>1926.2130379928315</v>
      </c>
      <c r="E8" s="7">
        <f t="shared" si="1"/>
        <v>1776.2130379928315</v>
      </c>
      <c r="F8" s="7">
        <f t="shared" si="1"/>
        <v>1776.2130379928315</v>
      </c>
      <c r="G8" s="7">
        <f t="shared" si="1"/>
        <v>1776.2130379928315</v>
      </c>
      <c r="H8" s="7">
        <f t="shared" si="1"/>
        <v>1776.2130379928315</v>
      </c>
      <c r="I8" s="7">
        <f t="shared" si="1"/>
        <v>1776.2130379928315</v>
      </c>
      <c r="J8" s="7">
        <f t="shared" si="1"/>
        <v>1776.2130379928315</v>
      </c>
      <c r="K8" s="7">
        <f t="shared" si="1"/>
        <v>1776.2130379928315</v>
      </c>
      <c r="L8" s="7">
        <f t="shared" si="1"/>
        <v>1776.2130379928315</v>
      </c>
      <c r="M8" s="14">
        <f t="shared" si="1"/>
        <v>1776.2130379928315</v>
      </c>
    </row>
    <row r="9" spans="1:14">
      <c r="A9" s="31" t="s">
        <v>29</v>
      </c>
      <c r="B9" s="7">
        <f>+'Datos Previsiones'!C49+'Financiación corto'!B26</f>
        <v>200</v>
      </c>
      <c r="C9" s="7">
        <f>+'Datos Previsiones'!D49+'Financiación corto'!C26</f>
        <v>1052.25</v>
      </c>
      <c r="D9" s="7">
        <f>+'Datos Previsiones'!E49+'Financiación corto'!D26</f>
        <v>1904.5</v>
      </c>
      <c r="E9" s="7">
        <f>+'Datos Previsiones'!F49+'Financiación corto'!E26</f>
        <v>1754.5</v>
      </c>
      <c r="F9" s="7">
        <f>+'Datos Previsiones'!G49+'Financiación corto'!F26</f>
        <v>1754.5</v>
      </c>
      <c r="G9" s="7">
        <f>+'Datos Previsiones'!H49+'Financiación corto'!G26</f>
        <v>1754.5</v>
      </c>
      <c r="H9" s="7">
        <f>+'Datos Previsiones'!I49+'Financiación corto'!H26</f>
        <v>1754.5</v>
      </c>
      <c r="I9" s="7">
        <f>+'Datos Previsiones'!J49+'Financiación corto'!I26</f>
        <v>1754.5</v>
      </c>
      <c r="J9" s="7">
        <f>+'Datos Previsiones'!K49+'Financiación corto'!J26</f>
        <v>1754.5</v>
      </c>
      <c r="K9" s="7">
        <f>+'Datos Previsiones'!L49+'Financiación corto'!K26</f>
        <v>1754.5</v>
      </c>
      <c r="L9" s="7">
        <f>+'Datos Previsiones'!M49+'Financiación corto'!L26</f>
        <v>1754.5</v>
      </c>
      <c r="M9" s="14">
        <f>+'Datos Previsiones'!N49+'Financiación corto'!M26</f>
        <v>1754.5</v>
      </c>
    </row>
    <row r="10" spans="1:14">
      <c r="A10" s="117" t="s">
        <v>117</v>
      </c>
      <c r="B10" s="3">
        <f>+'P y G'!B9*(1+'Datos Previsiones'!$C$41)</f>
        <v>21.713037992831541</v>
      </c>
      <c r="C10" s="3">
        <f>+'P y G'!C9*(1+'Datos Previsiones'!$C$41)</f>
        <v>21.713037992831541</v>
      </c>
      <c r="D10" s="3">
        <f>+'P y G'!D9*(1+'Datos Previsiones'!$C$41)</f>
        <v>21.713037992831541</v>
      </c>
      <c r="E10" s="3">
        <f>+'P y G'!E9*(1+'Datos Previsiones'!$C$41)</f>
        <v>21.713037992831541</v>
      </c>
      <c r="F10" s="3">
        <f>+'P y G'!F9*(1+'Datos Previsiones'!$C$41)</f>
        <v>21.713037992831541</v>
      </c>
      <c r="G10" s="3">
        <f>+'P y G'!G9*(1+'Datos Previsiones'!$C$41)</f>
        <v>21.713037992831541</v>
      </c>
      <c r="H10" s="3">
        <f>+'P y G'!H9*(1+'Datos Previsiones'!$C$41)</f>
        <v>21.713037992831541</v>
      </c>
      <c r="I10" s="3">
        <f>+'P y G'!I9*(1+'Datos Previsiones'!$C$41)</f>
        <v>21.713037992831541</v>
      </c>
      <c r="J10" s="3">
        <f>+'P y G'!J9*(1+'Datos Previsiones'!$C$41)</f>
        <v>21.713037992831541</v>
      </c>
      <c r="K10" s="3">
        <f>+'P y G'!K9*(1+'Datos Previsiones'!$C$41)</f>
        <v>21.713037992831541</v>
      </c>
      <c r="L10" s="3">
        <f>+'P y G'!L9*(1+'Datos Previsiones'!$C$41)</f>
        <v>21.713037992831541</v>
      </c>
      <c r="M10" s="15">
        <f>+'P y G'!M9*(1+'Datos Previsiones'!$C$41)</f>
        <v>21.713037992831541</v>
      </c>
    </row>
    <row r="11" spans="1:14">
      <c r="A11" s="44"/>
      <c r="B11" s="7"/>
      <c r="C11" s="7"/>
      <c r="D11" s="7"/>
      <c r="E11" s="7"/>
      <c r="F11" s="7"/>
      <c r="G11" s="7"/>
      <c r="H11" s="7"/>
      <c r="I11" s="7"/>
      <c r="J11" s="7"/>
      <c r="K11" s="7"/>
      <c r="L11" s="7"/>
      <c r="M11" s="14"/>
    </row>
    <row r="12" spans="1:14">
      <c r="A12" s="32" t="s">
        <v>42</v>
      </c>
      <c r="B12" s="7">
        <f>SUM(B13:B19)</f>
        <v>495.71274358974352</v>
      </c>
      <c r="C12" s="7">
        <f t="shared" ref="C12:M12" si="2">SUM(C13:C19)</f>
        <v>2926.0279407223607</v>
      </c>
      <c r="D12" s="7">
        <f t="shared" si="2"/>
        <v>1807.0941055969122</v>
      </c>
      <c r="E12" s="7">
        <f t="shared" si="2"/>
        <v>1742.3160410807832</v>
      </c>
      <c r="F12" s="7">
        <f t="shared" si="2"/>
        <v>1742.3160410807832</v>
      </c>
      <c r="G12" s="7">
        <f t="shared" si="2"/>
        <v>2124.8864298318172</v>
      </c>
      <c r="H12" s="7">
        <f t="shared" si="2"/>
        <v>1742.3160410807832</v>
      </c>
      <c r="I12" s="7">
        <f t="shared" si="2"/>
        <v>1742.3160410807832</v>
      </c>
      <c r="J12" s="7">
        <f t="shared" si="2"/>
        <v>1742.3160410807832</v>
      </c>
      <c r="K12" s="7">
        <f t="shared" si="2"/>
        <v>1742.3160410807832</v>
      </c>
      <c r="L12" s="7">
        <f t="shared" si="2"/>
        <v>1742.3160410807832</v>
      </c>
      <c r="M12" s="14">
        <f t="shared" si="2"/>
        <v>1742.3160410807832</v>
      </c>
      <c r="N12" s="4"/>
    </row>
    <row r="13" spans="1:14">
      <c r="A13" s="33" t="s">
        <v>15</v>
      </c>
      <c r="B13" s="3">
        <f>+'Datos Previsiones'!C50+'Pago compras'!B9</f>
        <v>100</v>
      </c>
      <c r="C13" s="3">
        <f>+'Datos Previsiones'!D50+'Pago compras'!C9</f>
        <v>2311.7151971326166</v>
      </c>
      <c r="D13" s="3">
        <f>+'Datos Previsiones'!E50+'Pago compras'!D9</f>
        <v>1193.7813620071684</v>
      </c>
      <c r="E13" s="3">
        <f>+'Datos Previsiones'!F50+'Pago compras'!E9</f>
        <v>1106.7813620071684</v>
      </c>
      <c r="F13" s="3">
        <f>+'Datos Previsiones'!G50+'Pago compras'!F9</f>
        <v>1106.7813620071684</v>
      </c>
      <c r="G13" s="3">
        <f>+'Datos Previsiones'!H50+'Pago compras'!G9</f>
        <v>1106.7813620071684</v>
      </c>
      <c r="H13" s="3">
        <f>+'Datos Previsiones'!I50+'Pago compras'!H9</f>
        <v>1106.7813620071684</v>
      </c>
      <c r="I13" s="3">
        <f>+'Datos Previsiones'!J50+'Pago compras'!I9</f>
        <v>1106.7813620071684</v>
      </c>
      <c r="J13" s="3">
        <f>+'Datos Previsiones'!K50+'Pago compras'!J9</f>
        <v>1106.7813620071684</v>
      </c>
      <c r="K13" s="3">
        <f>+'Datos Previsiones'!L50+'Pago compras'!K9</f>
        <v>1106.7813620071684</v>
      </c>
      <c r="L13" s="3">
        <f>+'Datos Previsiones'!M50+'Pago compras'!L9</f>
        <v>1106.7813620071684</v>
      </c>
      <c r="M13" s="3">
        <f>+'Datos Previsiones'!N50+'Pago compras'!M9</f>
        <v>1106.7813620071684</v>
      </c>
    </row>
    <row r="14" spans="1:14">
      <c r="A14" s="33" t="s">
        <v>134</v>
      </c>
      <c r="B14" s="3">
        <f>+'P y G'!B6*(1+'Datos Previsiones'!$C$41)</f>
        <v>52.634999999999998</v>
      </c>
      <c r="C14" s="3">
        <f>+'P y G'!C6*(1+'Datos Previsiones'!$C$41)</f>
        <v>52.634999999999998</v>
      </c>
      <c r="D14" s="3">
        <f>+'P y G'!D6*(1+'Datos Previsiones'!$C$41)</f>
        <v>52.634999999999998</v>
      </c>
      <c r="E14" s="3">
        <f>+'P y G'!E6*(1+'Datos Previsiones'!$C$41)</f>
        <v>52.634999999999998</v>
      </c>
      <c r="F14" s="3">
        <f>+'P y G'!F6*(1+'Datos Previsiones'!$C$41)</f>
        <v>52.634999999999998</v>
      </c>
      <c r="G14" s="3">
        <f>+'P y G'!G6*(1+'Datos Previsiones'!$C$41)</f>
        <v>52.634999999999998</v>
      </c>
      <c r="H14" s="3">
        <f>+'P y G'!H6*(1+'Datos Previsiones'!$C$41)</f>
        <v>52.634999999999998</v>
      </c>
      <c r="I14" s="3">
        <f>+'P y G'!I6*(1+'Datos Previsiones'!$C$41)</f>
        <v>52.634999999999998</v>
      </c>
      <c r="J14" s="3">
        <f>+'P y G'!J6*(1+'Datos Previsiones'!$C$41)</f>
        <v>52.634999999999998</v>
      </c>
      <c r="K14" s="3">
        <f>+'P y G'!K6*(1+'Datos Previsiones'!$C$41)</f>
        <v>52.634999999999998</v>
      </c>
      <c r="L14" s="3">
        <f>+'P y G'!L6*(1+'Datos Previsiones'!$C$41)</f>
        <v>52.634999999999998</v>
      </c>
      <c r="M14" s="15">
        <f>+'P y G'!M6*(1+'Datos Previsiones'!$C$41)</f>
        <v>52.634999999999998</v>
      </c>
    </row>
    <row r="15" spans="1:14">
      <c r="A15" s="33" t="s">
        <v>111</v>
      </c>
      <c r="B15" s="3">
        <f>'Datos Previsiones'!C51+CHOOSE('Datos Previsiones'!$K$46+1,'P y G'!B10,0,0,0)*(1+'Datos Previsiones'!$C$41)</f>
        <v>20</v>
      </c>
      <c r="C15" s="3">
        <f>'Datos Previsiones'!D51+CHOOSE('Datos Previsiones'!$K$46+1,'P y G'!C10,'P y G'!B10,0,0)*(1+'Datos Previsiones'!$C$41)</f>
        <v>15</v>
      </c>
      <c r="D15" s="3">
        <f>'Datos Previsiones'!E51+CHOOSE('Datos Previsiones'!$K$46+1,'P y G'!D10,'P y G'!C10,'P y G'!B13,0)*(1+'Datos Previsiones'!$C$41)</f>
        <v>14</v>
      </c>
      <c r="E15" s="3">
        <f>'Datos Previsiones'!F51+CHOOSE('Datos Previsiones'!$K$46+1,'P y G'!E10,'P y G'!D10,'P y G'!C13,'P y G'!B10)*(1+'Datos Previsiones'!$C$41)</f>
        <v>36.221935483870965</v>
      </c>
      <c r="F15" s="3">
        <f>'Datos Previsiones'!G51+CHOOSE('Datos Previsiones'!$K$46+1,'P y G'!F10,'P y G'!E10,'P y G'!D13,'P y G'!C10)*(1+'Datos Previsiones'!$C$41)</f>
        <v>36.221935483870965</v>
      </c>
      <c r="G15" s="3">
        <f>'Datos Previsiones'!H51+CHOOSE('Datos Previsiones'!$K$46+1,'P y G'!G10,'P y G'!F10,'P y G'!E13,'P y G'!D10)*(1+'Datos Previsiones'!$C$41)</f>
        <v>36.221935483870965</v>
      </c>
      <c r="H15" s="3">
        <f>'Datos Previsiones'!I51+CHOOSE('Datos Previsiones'!$K$46+1,'P y G'!H10,'P y G'!G10,'P y G'!F13,'P y G'!E10)*(1+'Datos Previsiones'!$C$41)</f>
        <v>36.221935483870965</v>
      </c>
      <c r="I15" s="3">
        <f>'Datos Previsiones'!J51+CHOOSE('Datos Previsiones'!$K$46+1,'P y G'!I10,'P y G'!H10,'P y G'!G13,'P y G'!F10)*(1+'Datos Previsiones'!$C$41)</f>
        <v>36.221935483870965</v>
      </c>
      <c r="J15" s="3">
        <f>'Datos Previsiones'!K51+CHOOSE('Datos Previsiones'!$K$46+1,'P y G'!J10,'P y G'!I10,'P y G'!H13,'P y G'!G10)*(1+'Datos Previsiones'!$C$41)</f>
        <v>36.221935483870965</v>
      </c>
      <c r="K15" s="3">
        <f>'Datos Previsiones'!L51+CHOOSE('Datos Previsiones'!$K$46+1,'P y G'!K10,'P y G'!J10,'P y G'!I13,'P y G'!H10)*(1+'Datos Previsiones'!$C$41)</f>
        <v>36.221935483870965</v>
      </c>
      <c r="L15" s="3">
        <f>'Datos Previsiones'!M51+CHOOSE('Datos Previsiones'!$K$46+1,'P y G'!L10,'P y G'!K10,'P y G'!J13,'P y G'!I10)*(1+'Datos Previsiones'!$C$41)</f>
        <v>36.221935483870965</v>
      </c>
      <c r="M15" s="15">
        <f>'Datos Previsiones'!N51+CHOOSE('Datos Previsiones'!$K$46+1,'P y G'!M10,'P y G'!L10,'P y G'!K13,'P y G'!J10)*(1+'Datos Previsiones'!$C$41)</f>
        <v>36.221935483870965</v>
      </c>
    </row>
    <row r="16" spans="1:14">
      <c r="A16" s="33" t="s">
        <v>118</v>
      </c>
      <c r="B16" s="3">
        <f>+'P y G'!B11</f>
        <v>4.6399999999999997</v>
      </c>
      <c r="C16" s="3">
        <f>+'P y G'!C11</f>
        <v>4.6399999999999997</v>
      </c>
      <c r="D16" s="3">
        <f>+'P y G'!D11</f>
        <v>4.6399999999999997</v>
      </c>
      <c r="E16" s="3">
        <f>+'P y G'!E11</f>
        <v>4.6399999999999997</v>
      </c>
      <c r="F16" s="3">
        <f>+'P y G'!F11</f>
        <v>4.6399999999999997</v>
      </c>
      <c r="G16" s="3">
        <f>+'P y G'!G11</f>
        <v>4.6399999999999997</v>
      </c>
      <c r="H16" s="3">
        <f>+'P y G'!H11</f>
        <v>4.6399999999999997</v>
      </c>
      <c r="I16" s="3">
        <f>+'P y G'!I11</f>
        <v>4.6399999999999997</v>
      </c>
      <c r="J16" s="3">
        <f>+'P y G'!J11</f>
        <v>4.6399999999999997</v>
      </c>
      <c r="K16" s="3">
        <f>+'P y G'!K11</f>
        <v>4.6399999999999997</v>
      </c>
      <c r="L16" s="3">
        <f>+'P y G'!L11</f>
        <v>4.6399999999999997</v>
      </c>
      <c r="M16" s="15">
        <f>+'P y G'!M11</f>
        <v>4.6399999999999997</v>
      </c>
    </row>
    <row r="17" spans="1:13">
      <c r="A17" s="33" t="s">
        <v>119</v>
      </c>
      <c r="B17" s="3">
        <f>+'P y G'!B12*(1+'Datos Previsiones'!$C$41)</f>
        <v>18.71466666666667</v>
      </c>
      <c r="C17" s="3">
        <f>+'P y G'!C12*(1+'Datos Previsiones'!$C$41)</f>
        <v>18.71466666666667</v>
      </c>
      <c r="D17" s="3">
        <f>+'P y G'!D12*(1+'Datos Previsiones'!$C$41)</f>
        <v>18.71466666666667</v>
      </c>
      <c r="E17" s="3">
        <f>+'P y G'!E12*(1+'Datos Previsiones'!$C$41)</f>
        <v>18.71466666666667</v>
      </c>
      <c r="F17" s="3">
        <f>+'P y G'!F12*(1+'Datos Previsiones'!$C$41)</f>
        <v>18.71466666666667</v>
      </c>
      <c r="G17" s="3">
        <f>+'P y G'!G12*(1+'Datos Previsiones'!$C$41)</f>
        <v>18.71466666666667</v>
      </c>
      <c r="H17" s="3">
        <f>+'P y G'!H12*(1+'Datos Previsiones'!$C$41)</f>
        <v>18.71466666666667</v>
      </c>
      <c r="I17" s="3">
        <f>+'P y G'!I12*(1+'Datos Previsiones'!$C$41)</f>
        <v>18.71466666666667</v>
      </c>
      <c r="J17" s="3">
        <f>+'P y G'!J12*(1+'Datos Previsiones'!$C$41)</f>
        <v>18.71466666666667</v>
      </c>
      <c r="K17" s="3">
        <f>+'P y G'!K12*(1+'Datos Previsiones'!$C$41)</f>
        <v>18.71466666666667</v>
      </c>
      <c r="L17" s="3">
        <f>+'P y G'!L12*(1+'Datos Previsiones'!$C$41)</f>
        <v>18.71466666666667</v>
      </c>
      <c r="M17" s="15">
        <f>+'P y G'!M12*(1+'Datos Previsiones'!$C$41)</f>
        <v>18.71466666666667</v>
      </c>
    </row>
    <row r="18" spans="1:13">
      <c r="A18" s="33" t="s">
        <v>116</v>
      </c>
      <c r="B18" s="3">
        <f>+Balance!C26</f>
        <v>69</v>
      </c>
      <c r="C18" s="3"/>
      <c r="D18" s="3"/>
      <c r="E18" s="3"/>
      <c r="F18" s="3"/>
      <c r="G18" s="3">
        <f>SUM('P y G'!B13:G13)</f>
        <v>105.647311827957</v>
      </c>
      <c r="H18" s="3"/>
      <c r="I18" s="3"/>
      <c r="J18" s="3"/>
      <c r="K18" s="3"/>
      <c r="L18" s="3"/>
      <c r="M18" s="15"/>
    </row>
    <row r="19" spans="1:13">
      <c r="A19" s="33" t="s">
        <v>16</v>
      </c>
      <c r="B19" s="3">
        <f>+'Gtos de personal'!B9+'Gtos de personal'!B11+'Gtos de personal'!B14</f>
        <v>230.72307692307692</v>
      </c>
      <c r="C19" s="3">
        <f>+'Gtos de personal'!C9+'Gtos de personal'!C11+'Gtos de personal'!C14</f>
        <v>523.323076923077</v>
      </c>
      <c r="D19" s="3">
        <f>+'Gtos de personal'!D9+'Gtos de personal'!D11+'Gtos de personal'!D14</f>
        <v>523.323076923077</v>
      </c>
      <c r="E19" s="3">
        <f>+'Gtos de personal'!E9+'Gtos de personal'!E11+'Gtos de personal'!E14</f>
        <v>523.323076923077</v>
      </c>
      <c r="F19" s="3">
        <f>+'Gtos de personal'!F9+'Gtos de personal'!F11+'Gtos de personal'!F14</f>
        <v>523.323076923077</v>
      </c>
      <c r="G19" s="3">
        <f>+'Gtos de personal'!G9+'Gtos de personal'!G11+'Gtos de personal'!G14</f>
        <v>800.2461538461539</v>
      </c>
      <c r="H19" s="3">
        <f>+'Gtos de personal'!H9+'Gtos de personal'!H11+'Gtos de personal'!H14</f>
        <v>523.323076923077</v>
      </c>
      <c r="I19" s="3">
        <f>+'Gtos de personal'!I9+'Gtos de personal'!I11+'Gtos de personal'!I14</f>
        <v>523.323076923077</v>
      </c>
      <c r="J19" s="3">
        <f>+'Gtos de personal'!J9+'Gtos de personal'!J11+'Gtos de personal'!J14</f>
        <v>523.323076923077</v>
      </c>
      <c r="K19" s="3">
        <f>+'Gtos de personal'!K9+'Gtos de personal'!K11+'Gtos de personal'!K14</f>
        <v>523.323076923077</v>
      </c>
      <c r="L19" s="3">
        <f>+'Gtos de personal'!L9+'Gtos de personal'!L11+'Gtos de personal'!L14</f>
        <v>523.323076923077</v>
      </c>
      <c r="M19" s="3">
        <f>+'Gtos de personal'!M9+'Gtos de personal'!M11+'Gtos de personal'!M14</f>
        <v>523.323076923077</v>
      </c>
    </row>
    <row r="20" spans="1:13" ht="13.5" thickBot="1">
      <c r="A20" s="118" t="s">
        <v>43</v>
      </c>
      <c r="B20" s="27">
        <f t="shared" ref="B20:M20" si="3">+B8-B12</f>
        <v>-273.99970559691201</v>
      </c>
      <c r="C20" s="27">
        <f t="shared" si="3"/>
        <v>-1852.0649027295292</v>
      </c>
      <c r="D20" s="27">
        <f t="shared" si="3"/>
        <v>119.11893239591927</v>
      </c>
      <c r="E20" s="27">
        <f t="shared" si="3"/>
        <v>33.89699691204828</v>
      </c>
      <c r="F20" s="27">
        <f t="shared" si="3"/>
        <v>33.89699691204828</v>
      </c>
      <c r="G20" s="27">
        <f t="shared" si="3"/>
        <v>-348.67339183898571</v>
      </c>
      <c r="H20" s="27">
        <f t="shared" si="3"/>
        <v>33.89699691204828</v>
      </c>
      <c r="I20" s="27">
        <f t="shared" si="3"/>
        <v>33.89699691204828</v>
      </c>
      <c r="J20" s="27">
        <f t="shared" si="3"/>
        <v>33.89699691204828</v>
      </c>
      <c r="K20" s="27">
        <f t="shared" si="3"/>
        <v>33.89699691204828</v>
      </c>
      <c r="L20" s="27">
        <f t="shared" si="3"/>
        <v>33.89699691204828</v>
      </c>
      <c r="M20" s="28">
        <f t="shared" si="3"/>
        <v>33.89699691204828</v>
      </c>
    </row>
    <row r="21" spans="1:13" ht="13.5" thickBot="1">
      <c r="A21" s="10"/>
      <c r="B21" s="3"/>
      <c r="C21" s="3"/>
      <c r="D21" s="3"/>
      <c r="E21" s="3"/>
      <c r="F21" s="3"/>
      <c r="G21" s="3"/>
      <c r="H21" s="3"/>
      <c r="I21" s="3"/>
      <c r="J21" s="3"/>
      <c r="K21" s="3"/>
      <c r="L21" s="3"/>
      <c r="M21" s="3"/>
    </row>
    <row r="22" spans="1:13">
      <c r="A22" s="34" t="s">
        <v>30</v>
      </c>
      <c r="B22" s="26"/>
      <c r="C22" s="26"/>
      <c r="D22" s="26"/>
      <c r="E22" s="26"/>
      <c r="F22" s="26"/>
      <c r="G22" s="26"/>
      <c r="H22" s="26"/>
      <c r="I22" s="26"/>
      <c r="J22" s="26"/>
      <c r="K22" s="26"/>
      <c r="L22" s="26"/>
      <c r="M22" s="23"/>
    </row>
    <row r="23" spans="1:13">
      <c r="A23" s="119" t="s">
        <v>36</v>
      </c>
      <c r="B23" s="7"/>
      <c r="C23" s="7"/>
      <c r="D23" s="7"/>
      <c r="E23" s="7"/>
      <c r="F23" s="7"/>
      <c r="G23" s="7"/>
      <c r="H23" s="7"/>
      <c r="I23" s="7"/>
      <c r="J23" s="7"/>
      <c r="K23" s="7"/>
      <c r="L23" s="7"/>
      <c r="M23" s="14"/>
    </row>
    <row r="24" spans="1:13">
      <c r="A24" s="35" t="s">
        <v>122</v>
      </c>
      <c r="B24" s="3">
        <f>+'Datos Previsiones'!C13*(1+'Datos Previsiones'!$C$41)</f>
        <v>0</v>
      </c>
      <c r="C24" s="3">
        <f>+'Datos Previsiones'!D13*(1+'Datos Previsiones'!$C$41)</f>
        <v>0</v>
      </c>
      <c r="D24" s="3">
        <f>+'Datos Previsiones'!E13*(1+'Datos Previsiones'!$C$41)</f>
        <v>0</v>
      </c>
      <c r="E24" s="3">
        <f>+'Datos Previsiones'!F13*(1+'Datos Previsiones'!$C$41)</f>
        <v>0</v>
      </c>
      <c r="F24" s="3">
        <f>+'Datos Previsiones'!G13*(1+'Datos Previsiones'!$C$41)</f>
        <v>0</v>
      </c>
      <c r="G24" s="3">
        <f>+'Datos Previsiones'!H13*(1+'Datos Previsiones'!$C$41)</f>
        <v>60.5</v>
      </c>
      <c r="H24" s="3">
        <f>+'Datos Previsiones'!I13*(1+'Datos Previsiones'!$C$41)</f>
        <v>0</v>
      </c>
      <c r="I24" s="3">
        <f>+'Datos Previsiones'!J13*(1+'Datos Previsiones'!$C$41)</f>
        <v>0</v>
      </c>
      <c r="J24" s="3">
        <f>+'Datos Previsiones'!K13*(1+'Datos Previsiones'!$C$41)</f>
        <v>0</v>
      </c>
      <c r="K24" s="3">
        <f>+'Datos Previsiones'!L13*(1+'Datos Previsiones'!$C$41)</f>
        <v>0</v>
      </c>
      <c r="L24" s="3">
        <f>+'Datos Previsiones'!M13*(1+'Datos Previsiones'!$C$41)</f>
        <v>0</v>
      </c>
      <c r="M24" s="15">
        <f>+'Datos Previsiones'!N13*(1+'Datos Previsiones'!$C$41)</f>
        <v>0</v>
      </c>
    </row>
    <row r="25" spans="1:13">
      <c r="A25" s="35" t="s">
        <v>123</v>
      </c>
      <c r="B25" s="3">
        <f>+'Datos Previsiones'!C16</f>
        <v>0</v>
      </c>
      <c r="C25" s="3">
        <f>+'Datos Previsiones'!D16</f>
        <v>0</v>
      </c>
      <c r="D25" s="3">
        <f>+'Datos Previsiones'!E16</f>
        <v>0</v>
      </c>
      <c r="E25" s="3">
        <f>+'Datos Previsiones'!F16</f>
        <v>0</v>
      </c>
      <c r="F25" s="3">
        <f>+'Datos Previsiones'!G16</f>
        <v>0</v>
      </c>
      <c r="G25" s="3">
        <f>+'Datos Previsiones'!H16</f>
        <v>125</v>
      </c>
      <c r="H25" s="3">
        <f>+'Datos Previsiones'!I16</f>
        <v>0</v>
      </c>
      <c r="I25" s="3">
        <f>+'Datos Previsiones'!J16</f>
        <v>0</v>
      </c>
      <c r="J25" s="3">
        <f>+'Datos Previsiones'!K16</f>
        <v>0</v>
      </c>
      <c r="K25" s="3">
        <f>+'Datos Previsiones'!L16</f>
        <v>0</v>
      </c>
      <c r="L25" s="3">
        <f>+'Datos Previsiones'!M16</f>
        <v>0</v>
      </c>
      <c r="M25" s="15">
        <f>+'Datos Previsiones'!N16</f>
        <v>0</v>
      </c>
    </row>
    <row r="26" spans="1:13">
      <c r="A26" s="35" t="s">
        <v>18</v>
      </c>
      <c r="B26" s="3">
        <f>+'Datos Previsiones'!C19</f>
        <v>0</v>
      </c>
      <c r="C26" s="3">
        <f>+'Datos Previsiones'!D19</f>
        <v>0</v>
      </c>
      <c r="D26" s="3">
        <f>+'Datos Previsiones'!E19</f>
        <v>1000</v>
      </c>
      <c r="E26" s="3">
        <f>+'Datos Previsiones'!F19</f>
        <v>0</v>
      </c>
      <c r="F26" s="3">
        <f>+'Datos Previsiones'!G19</f>
        <v>0</v>
      </c>
      <c r="G26" s="3">
        <f>+'Datos Previsiones'!H19</f>
        <v>0</v>
      </c>
      <c r="H26" s="3">
        <f>+'Datos Previsiones'!I19</f>
        <v>0</v>
      </c>
      <c r="I26" s="3">
        <f>+'Datos Previsiones'!J19</f>
        <v>0</v>
      </c>
      <c r="J26" s="3">
        <f>+'Datos Previsiones'!K19</f>
        <v>0</v>
      </c>
      <c r="K26" s="3">
        <f>+'Datos Previsiones'!L19</f>
        <v>0</v>
      </c>
      <c r="L26" s="3">
        <f>+'Datos Previsiones'!M19</f>
        <v>0</v>
      </c>
      <c r="M26" s="15">
        <f>+'Datos Previsiones'!N19</f>
        <v>0</v>
      </c>
    </row>
    <row r="27" spans="1:13">
      <c r="A27" s="35" t="s">
        <v>97</v>
      </c>
      <c r="B27" s="3">
        <f>+'Datos Previsiones'!C20</f>
        <v>0</v>
      </c>
      <c r="C27" s="3">
        <f>+'Datos Previsiones'!D20</f>
        <v>0</v>
      </c>
      <c r="D27" s="3">
        <f>+'Datos Previsiones'!E20</f>
        <v>0</v>
      </c>
      <c r="E27" s="3">
        <f>+'Datos Previsiones'!F20</f>
        <v>0</v>
      </c>
      <c r="F27" s="3">
        <f>+'Datos Previsiones'!G20</f>
        <v>0</v>
      </c>
      <c r="G27" s="3">
        <f>+'Datos Previsiones'!H20</f>
        <v>0</v>
      </c>
      <c r="H27" s="3">
        <f>+'Datos Previsiones'!I20</f>
        <v>0</v>
      </c>
      <c r="I27" s="3">
        <f>+'Datos Previsiones'!J20</f>
        <v>0</v>
      </c>
      <c r="J27" s="3">
        <f>+'Datos Previsiones'!K20</f>
        <v>0</v>
      </c>
      <c r="K27" s="3">
        <f>+'Datos Previsiones'!L20</f>
        <v>0</v>
      </c>
      <c r="L27" s="3">
        <f>+'Datos Previsiones'!M20</f>
        <v>0</v>
      </c>
      <c r="M27" s="15">
        <f>+'Datos Previsiones'!N20</f>
        <v>0</v>
      </c>
    </row>
    <row r="28" spans="1:13">
      <c r="A28" s="35" t="s">
        <v>120</v>
      </c>
      <c r="B28" s="3">
        <f>+'Datos Previsiones'!C21</f>
        <v>0</v>
      </c>
      <c r="C28" s="3">
        <f>+'Datos Previsiones'!D21</f>
        <v>0</v>
      </c>
      <c r="D28" s="3">
        <f>+'Datos Previsiones'!E21</f>
        <v>0</v>
      </c>
      <c r="E28" s="3">
        <f>+'Datos Previsiones'!F21</f>
        <v>0</v>
      </c>
      <c r="F28" s="3">
        <f>+'Datos Previsiones'!G21</f>
        <v>0</v>
      </c>
      <c r="G28" s="3">
        <f>+'Datos Previsiones'!H21</f>
        <v>800</v>
      </c>
      <c r="H28" s="3">
        <f>+'Datos Previsiones'!I21</f>
        <v>0</v>
      </c>
      <c r="I28" s="3">
        <f>+'Datos Previsiones'!J21</f>
        <v>0</v>
      </c>
      <c r="J28" s="3">
        <f>+'Datos Previsiones'!K21</f>
        <v>0</v>
      </c>
      <c r="K28" s="3">
        <f>+'Datos Previsiones'!L21</f>
        <v>0</v>
      </c>
      <c r="L28" s="3">
        <f>+'Datos Previsiones'!M21</f>
        <v>0</v>
      </c>
      <c r="M28" s="15">
        <f>+'Datos Previsiones'!N21</f>
        <v>0</v>
      </c>
    </row>
    <row r="29" spans="1:13">
      <c r="A29" s="35" t="s">
        <v>121</v>
      </c>
      <c r="B29" s="3">
        <f>+'Datos Previsiones'!C22+'Financiación corto'!B31+'Financiación corto'!B42</f>
        <v>0</v>
      </c>
      <c r="C29" s="3">
        <f>+'Datos Previsiones'!D22+'Financiación corto'!C31+'Financiación corto'!C42</f>
        <v>0</v>
      </c>
      <c r="D29" s="3">
        <f>+'Datos Previsiones'!E22+'Financiación corto'!D31+'Financiación corto'!D42</f>
        <v>0</v>
      </c>
      <c r="E29" s="3">
        <f>+'Datos Previsiones'!F22+'Financiación corto'!E31+'Financiación corto'!E42</f>
        <v>0</v>
      </c>
      <c r="F29" s="3">
        <f>+'Datos Previsiones'!G22+'Financiación corto'!F31+'Financiación corto'!F42</f>
        <v>0</v>
      </c>
      <c r="G29" s="3">
        <f>+'Datos Previsiones'!H22+'Financiación corto'!G31+'Financiación corto'!G42</f>
        <v>0</v>
      </c>
      <c r="H29" s="3">
        <f>+'Datos Previsiones'!I22+'Financiación corto'!H31+'Financiación corto'!H42</f>
        <v>0</v>
      </c>
      <c r="I29" s="3">
        <f>+'Datos Previsiones'!J22+'Financiación corto'!I31+'Financiación corto'!I42</f>
        <v>0</v>
      </c>
      <c r="J29" s="3">
        <f>+'Datos Previsiones'!K22+'Financiación corto'!J31+'Financiación corto'!J42</f>
        <v>0</v>
      </c>
      <c r="K29" s="3">
        <f>+'Datos Previsiones'!L22+'Financiación corto'!K31+'Financiación corto'!K42</f>
        <v>0</v>
      </c>
      <c r="L29" s="3">
        <f>+'Datos Previsiones'!M22+'Financiación corto'!L31+'Financiación corto'!L42</f>
        <v>0</v>
      </c>
      <c r="M29" s="3">
        <f>+'Datos Previsiones'!N22+'Financiación corto'!M31+'Financiación corto'!M42</f>
        <v>0</v>
      </c>
    </row>
    <row r="30" spans="1:13">
      <c r="A30" s="35" t="s">
        <v>135</v>
      </c>
      <c r="B30" s="1">
        <f>+'P y G'!B19</f>
        <v>0.83333333333333337</v>
      </c>
      <c r="C30" s="1">
        <f>+'P y G'!C19</f>
        <v>0.83333333333333337</v>
      </c>
      <c r="D30" s="1">
        <f>+'P y G'!D19</f>
        <v>0.83333333333333337</v>
      </c>
      <c r="E30" s="1">
        <f>+'P y G'!E19</f>
        <v>0.83333333333333337</v>
      </c>
      <c r="F30" s="1">
        <f>+'P y G'!F19</f>
        <v>0.83333333333333337</v>
      </c>
      <c r="G30" s="1">
        <f>+'P y G'!G19</f>
        <v>0.83333333333333337</v>
      </c>
      <c r="H30" s="1">
        <f>+'P y G'!H19</f>
        <v>0.83333333333333337</v>
      </c>
      <c r="I30" s="1">
        <f>+'P y G'!I19</f>
        <v>0.83333333333333337</v>
      </c>
      <c r="J30" s="1">
        <f>+'P y G'!J19</f>
        <v>0.83333333333333337</v>
      </c>
      <c r="K30" s="1">
        <f>+'P y G'!K19</f>
        <v>0.83333333333333337</v>
      </c>
      <c r="L30" s="1">
        <f>+'P y G'!L19</f>
        <v>0.83333333333333337</v>
      </c>
      <c r="M30" s="1">
        <f>+'P y G'!M19</f>
        <v>0.83333333333333337</v>
      </c>
    </row>
    <row r="31" spans="1:13">
      <c r="A31" s="38" t="s">
        <v>19</v>
      </c>
      <c r="B31" s="1">
        <f>SUM(B24:B30)</f>
        <v>0.83333333333333337</v>
      </c>
      <c r="C31" s="1">
        <f t="shared" ref="C31:M31" si="4">SUM(C24:C30)</f>
        <v>0.83333333333333337</v>
      </c>
      <c r="D31" s="1">
        <f t="shared" si="4"/>
        <v>1000.8333333333334</v>
      </c>
      <c r="E31" s="1">
        <f t="shared" si="4"/>
        <v>0.83333333333333337</v>
      </c>
      <c r="F31" s="1">
        <f t="shared" si="4"/>
        <v>0.83333333333333337</v>
      </c>
      <c r="G31" s="1">
        <f t="shared" si="4"/>
        <v>986.33333333333337</v>
      </c>
      <c r="H31" s="1">
        <f t="shared" si="4"/>
        <v>0.83333333333333337</v>
      </c>
      <c r="I31" s="1">
        <f t="shared" si="4"/>
        <v>0.83333333333333337</v>
      </c>
      <c r="J31" s="1">
        <f t="shared" si="4"/>
        <v>0.83333333333333337</v>
      </c>
      <c r="K31" s="1">
        <f t="shared" si="4"/>
        <v>0.83333333333333337</v>
      </c>
      <c r="L31" s="1">
        <f t="shared" si="4"/>
        <v>0.83333333333333337</v>
      </c>
      <c r="M31" s="13">
        <f t="shared" si="4"/>
        <v>0.83333333333333337</v>
      </c>
    </row>
    <row r="32" spans="1:13">
      <c r="A32" s="120"/>
      <c r="B32" s="3"/>
      <c r="C32" s="3"/>
      <c r="D32" s="3"/>
      <c r="E32" s="3"/>
      <c r="F32" s="3"/>
      <c r="G32" s="3"/>
      <c r="H32" s="3"/>
      <c r="I32" s="3"/>
      <c r="J32" s="3"/>
      <c r="K32" s="3"/>
      <c r="L32" s="3"/>
      <c r="M32" s="15"/>
    </row>
    <row r="33" spans="1:13">
      <c r="A33" s="119" t="s">
        <v>42</v>
      </c>
      <c r="B33" s="7"/>
      <c r="C33" s="7"/>
      <c r="D33" s="7"/>
      <c r="E33" s="7"/>
      <c r="F33" s="7"/>
      <c r="G33" s="7"/>
      <c r="H33" s="7"/>
      <c r="I33" s="7"/>
      <c r="J33" s="7"/>
      <c r="K33" s="7"/>
      <c r="L33" s="7"/>
      <c r="M33" s="14"/>
    </row>
    <row r="34" spans="1:13">
      <c r="A34" s="36" t="s">
        <v>124</v>
      </c>
      <c r="B34" s="3">
        <f>+'Datos Previsiones'!C6*(1+'Datos Previsiones'!$C$41)</f>
        <v>0</v>
      </c>
      <c r="C34" s="3">
        <f>+'Datos Previsiones'!D6*(1+'Datos Previsiones'!$C$41)</f>
        <v>0</v>
      </c>
      <c r="D34" s="3">
        <f>+'Datos Previsiones'!E6*(1+'Datos Previsiones'!$C$41)</f>
        <v>1815</v>
      </c>
      <c r="E34" s="3">
        <f>+'Datos Previsiones'!F6*(1+'Datos Previsiones'!$C$41)</f>
        <v>0</v>
      </c>
      <c r="F34" s="3">
        <f>+'Datos Previsiones'!G6*(1+'Datos Previsiones'!$C$41)</f>
        <v>0</v>
      </c>
      <c r="G34" s="3">
        <f>+'Datos Previsiones'!H6*(1+'Datos Previsiones'!$C$41)</f>
        <v>0</v>
      </c>
      <c r="H34" s="3">
        <f>+'Datos Previsiones'!I6*(1+'Datos Previsiones'!$C$41)</f>
        <v>0</v>
      </c>
      <c r="I34" s="3">
        <f>+'Datos Previsiones'!J6*(1+'Datos Previsiones'!$C$41)</f>
        <v>0</v>
      </c>
      <c r="J34" s="3">
        <f>+'Datos Previsiones'!K6*(1+'Datos Previsiones'!$C$41)</f>
        <v>0</v>
      </c>
      <c r="K34" s="3">
        <f>+'Datos Previsiones'!L6*(1+'Datos Previsiones'!$C$41)</f>
        <v>0</v>
      </c>
      <c r="L34" s="3">
        <f>+'Datos Previsiones'!M6*(1+'Datos Previsiones'!$C$41)</f>
        <v>0</v>
      </c>
      <c r="M34" s="15">
        <f>+'Datos Previsiones'!N6*(1+'Datos Previsiones'!$C$41)</f>
        <v>0</v>
      </c>
    </row>
    <row r="35" spans="1:13">
      <c r="A35" s="35" t="s">
        <v>125</v>
      </c>
      <c r="B35" s="3">
        <f>+'Datos Previsiones'!C7</f>
        <v>0</v>
      </c>
      <c r="C35" s="3">
        <f>+'Datos Previsiones'!D7</f>
        <v>0</v>
      </c>
      <c r="D35" s="3">
        <f>+'Datos Previsiones'!E7</f>
        <v>0</v>
      </c>
      <c r="E35" s="3">
        <f>+'Datos Previsiones'!F7</f>
        <v>0</v>
      </c>
      <c r="F35" s="3">
        <f>+'Datos Previsiones'!G7</f>
        <v>0</v>
      </c>
      <c r="G35" s="3">
        <f>+'Datos Previsiones'!H7</f>
        <v>0</v>
      </c>
      <c r="H35" s="3">
        <f>+'Datos Previsiones'!I7</f>
        <v>0</v>
      </c>
      <c r="I35" s="3">
        <f>+'Datos Previsiones'!J7</f>
        <v>0</v>
      </c>
      <c r="J35" s="3">
        <f>+'Datos Previsiones'!K7</f>
        <v>0</v>
      </c>
      <c r="K35" s="3">
        <f>+'Datos Previsiones'!L7</f>
        <v>0</v>
      </c>
      <c r="L35" s="3">
        <f>+'Datos Previsiones'!M7</f>
        <v>0</v>
      </c>
      <c r="M35" s="15">
        <f>+'Datos Previsiones'!N7</f>
        <v>0</v>
      </c>
    </row>
    <row r="36" spans="1:13">
      <c r="A36" s="35" t="s">
        <v>93</v>
      </c>
      <c r="B36" s="3">
        <f>+Prestamos!C15+Prestamos!C34</f>
        <v>22.069783839724987</v>
      </c>
      <c r="C36" s="3">
        <f>+Prestamos!D15+Prestamos!D34</f>
        <v>22.184730630556889</v>
      </c>
      <c r="D36" s="3">
        <f>+Prestamos!E15+Prestamos!E34</f>
        <v>22.300276102591038</v>
      </c>
      <c r="E36" s="3">
        <f>+Prestamos!F15+Prestamos!F34</f>
        <v>22.4164233739587</v>
      </c>
      <c r="F36" s="3">
        <f>+Prestamos!G15+Prestamos!G34</f>
        <v>22.533175579031401</v>
      </c>
      <c r="G36" s="3">
        <f>+Prestamos!H15+Prestamos!H34</f>
        <v>22.650535868505525</v>
      </c>
      <c r="H36" s="3">
        <f>+Prestamos!I15+Prestamos!I34</f>
        <v>22.768507409487324</v>
      </c>
      <c r="I36" s="3">
        <f>+Prestamos!J15+Prestamos!J34</f>
        <v>22.887093385578403</v>
      </c>
      <c r="J36" s="3">
        <f>+Prestamos!K15+Prestamos!K34</f>
        <v>23.006296996961623</v>
      </c>
      <c r="K36" s="3">
        <f>+Prestamos!L15+Prestamos!L34</f>
        <v>23.126121460487465</v>
      </c>
      <c r="L36" s="3">
        <f>+Prestamos!M15+Prestamos!M34</f>
        <v>23.246570009760838</v>
      </c>
      <c r="M36" s="3">
        <f>+Prestamos!N15+Prestamos!N34</f>
        <v>23.367645895228343</v>
      </c>
    </row>
    <row r="37" spans="1:13">
      <c r="A37" s="35" t="s">
        <v>92</v>
      </c>
      <c r="B37" s="3">
        <f>+Prestamos!C54+'Financiación corto'!B32+'Financiación corto'!B43</f>
        <v>0</v>
      </c>
      <c r="C37" s="3">
        <f>+Prestamos!D54+'Financiación corto'!C32+'Financiación corto'!C43</f>
        <v>0</v>
      </c>
      <c r="D37" s="3">
        <f>+Prestamos!E54+'Financiación corto'!D32+'Financiación corto'!D43</f>
        <v>0</v>
      </c>
      <c r="E37" s="3">
        <f>+Prestamos!F54+'Financiación corto'!E32+'Financiación corto'!E43</f>
        <v>0</v>
      </c>
      <c r="F37" s="3">
        <f>+Prestamos!G54+'Financiación corto'!F32+'Financiación corto'!F43</f>
        <v>0</v>
      </c>
      <c r="G37" s="3">
        <f>+Prestamos!H54+'Financiación corto'!G32+'Financiación corto'!G43</f>
        <v>0</v>
      </c>
      <c r="H37" s="3">
        <f>+Prestamos!I54+'Financiación corto'!H32+'Financiación corto'!H43</f>
        <v>0</v>
      </c>
      <c r="I37" s="3">
        <f>+Prestamos!J54+'Financiación corto'!I32+'Financiación corto'!I43</f>
        <v>0</v>
      </c>
      <c r="J37" s="3">
        <f>+Prestamos!K54+'Financiación corto'!J32+'Financiación corto'!J43</f>
        <v>0</v>
      </c>
      <c r="K37" s="3">
        <f>+Prestamos!L54+'Financiación corto'!K32+'Financiación corto'!K43</f>
        <v>0</v>
      </c>
      <c r="L37" s="3">
        <f>+Prestamos!M54+'Financiación corto'!L32+'Financiación corto'!L43</f>
        <v>0</v>
      </c>
      <c r="M37" s="3">
        <f>+Prestamos!N54+'Financiación corto'!M32+'Financiación corto'!M43</f>
        <v>0</v>
      </c>
    </row>
    <row r="38" spans="1:13">
      <c r="A38" s="35" t="s">
        <v>17</v>
      </c>
      <c r="B38" s="3">
        <f>+'Datos Previsiones'!C10</f>
        <v>0</v>
      </c>
      <c r="C38" s="3">
        <f>+'Datos Previsiones'!D10</f>
        <v>0</v>
      </c>
      <c r="D38" s="3">
        <f>+'Datos Previsiones'!E10</f>
        <v>0</v>
      </c>
      <c r="E38" s="3">
        <f>+'Datos Previsiones'!F10</f>
        <v>0</v>
      </c>
      <c r="F38" s="3">
        <f>+'Datos Previsiones'!G10</f>
        <v>0</v>
      </c>
      <c r="G38" s="3">
        <f>+'Datos Previsiones'!H10</f>
        <v>0</v>
      </c>
      <c r="H38" s="3">
        <f>+'Datos Previsiones'!I10</f>
        <v>0</v>
      </c>
      <c r="I38" s="3">
        <f>+'Datos Previsiones'!J10</f>
        <v>0</v>
      </c>
      <c r="J38" s="3">
        <f>+'Datos Previsiones'!K10</f>
        <v>0</v>
      </c>
      <c r="K38" s="3">
        <f>+'Datos Previsiones'!L10</f>
        <v>0</v>
      </c>
      <c r="L38" s="3">
        <f>+'Datos Previsiones'!M10</f>
        <v>0</v>
      </c>
      <c r="M38" s="15">
        <f>+'Datos Previsiones'!N10</f>
        <v>0</v>
      </c>
    </row>
    <row r="39" spans="1:13" s="25" customFormat="1">
      <c r="A39" s="35" t="s">
        <v>115</v>
      </c>
      <c r="B39" s="3">
        <f>+Balance!C25-Balance!C11</f>
        <v>118</v>
      </c>
      <c r="C39" s="3"/>
      <c r="D39" s="3"/>
      <c r="E39" s="3">
        <f>+IVA!F9</f>
        <v>0</v>
      </c>
      <c r="F39" s="3"/>
      <c r="G39" s="3"/>
      <c r="H39" s="3">
        <f>+IVA!I9</f>
        <v>88.812055913978284</v>
      </c>
      <c r="I39" s="3"/>
      <c r="J39" s="3"/>
      <c r="K39" s="3">
        <f>+IVA!L9</f>
        <v>292.53871612903214</v>
      </c>
      <c r="L39" s="3"/>
      <c r="M39" s="15"/>
    </row>
    <row r="40" spans="1:13" s="25" customFormat="1">
      <c r="A40" s="35" t="s">
        <v>112</v>
      </c>
      <c r="B40" s="3"/>
      <c r="C40" s="3"/>
      <c r="D40" s="3"/>
      <c r="E40" s="3"/>
      <c r="F40" s="3"/>
      <c r="G40" s="3">
        <f>+'Datos Previsiones'!H11</f>
        <v>20</v>
      </c>
      <c r="H40" s="3"/>
      <c r="I40" s="3"/>
      <c r="J40" s="3"/>
      <c r="K40" s="3"/>
      <c r="L40" s="3"/>
      <c r="M40" s="15"/>
    </row>
    <row r="41" spans="1:13" s="25" customFormat="1">
      <c r="A41" s="35" t="s">
        <v>126</v>
      </c>
      <c r="B41" s="3">
        <f>+'Datos Previsiones'!C25-'Datos Previsiones'!C24</f>
        <v>0</v>
      </c>
      <c r="C41" s="3">
        <f>+'Datos Previsiones'!D25-'Datos Previsiones'!D24</f>
        <v>0</v>
      </c>
      <c r="D41" s="3">
        <f>+'Datos Previsiones'!E25-'Datos Previsiones'!E24</f>
        <v>0</v>
      </c>
      <c r="E41" s="3">
        <f>+'Datos Previsiones'!F25-'Datos Previsiones'!F24</f>
        <v>0</v>
      </c>
      <c r="F41" s="3">
        <f>+'Datos Previsiones'!G25-'Datos Previsiones'!G24</f>
        <v>0</v>
      </c>
      <c r="G41" s="3">
        <f>+'Datos Previsiones'!H25-'Datos Previsiones'!H24</f>
        <v>25</v>
      </c>
      <c r="H41" s="3">
        <f>+'Datos Previsiones'!I25-'Datos Previsiones'!I24</f>
        <v>0</v>
      </c>
      <c r="I41" s="3">
        <f>+'Datos Previsiones'!J25-'Datos Previsiones'!J24</f>
        <v>0</v>
      </c>
      <c r="J41" s="3">
        <f>+'Datos Previsiones'!K25-'Datos Previsiones'!K24</f>
        <v>0</v>
      </c>
      <c r="K41" s="3">
        <f>+'Datos Previsiones'!L25-'Datos Previsiones'!L24</f>
        <v>0</v>
      </c>
      <c r="L41" s="3">
        <f>+'Datos Previsiones'!M25-'Datos Previsiones'!M24</f>
        <v>0</v>
      </c>
      <c r="M41" s="15">
        <f>+'Datos Previsiones'!N25-'Datos Previsiones'!N24</f>
        <v>0</v>
      </c>
    </row>
    <row r="42" spans="1:13" s="25" customFormat="1">
      <c r="A42" s="35" t="s">
        <v>156</v>
      </c>
      <c r="B42" s="3">
        <f>+'Financiación corto'!B27</f>
        <v>0</v>
      </c>
      <c r="C42" s="3">
        <f>+'Financiación corto'!C27</f>
        <v>0</v>
      </c>
      <c r="D42" s="3">
        <f>+'Financiación corto'!D27</f>
        <v>0</v>
      </c>
      <c r="E42" s="3">
        <f>+'Financiación corto'!E27</f>
        <v>0</v>
      </c>
      <c r="F42" s="3">
        <f>+'Financiación corto'!F27</f>
        <v>0</v>
      </c>
      <c r="G42" s="3">
        <f>+'Financiación corto'!G27</f>
        <v>0</v>
      </c>
      <c r="H42" s="3">
        <f>+'Financiación corto'!H27</f>
        <v>0</v>
      </c>
      <c r="I42" s="3">
        <f>+'Financiación corto'!I27</f>
        <v>0</v>
      </c>
      <c r="J42" s="3">
        <f>+'Financiación corto'!J27</f>
        <v>0</v>
      </c>
      <c r="K42" s="3">
        <f>+'Financiación corto'!K27</f>
        <v>0</v>
      </c>
      <c r="L42" s="3">
        <f>+'Financiación corto'!L27</f>
        <v>0</v>
      </c>
      <c r="M42" s="15">
        <f>+'Financiación corto'!M27</f>
        <v>0</v>
      </c>
    </row>
    <row r="43" spans="1:13">
      <c r="A43" s="37" t="s">
        <v>2</v>
      </c>
      <c r="B43" s="1">
        <f>+'P y G'!B21</f>
        <v>6.25</v>
      </c>
      <c r="C43" s="1">
        <f>+'P y G'!C21</f>
        <v>6.1350532091680989</v>
      </c>
      <c r="D43" s="1">
        <f>+'P y G'!D21</f>
        <v>6.0195077371339485</v>
      </c>
      <c r="E43" s="1">
        <f>+'P y G'!E21</f>
        <v>5.903360465766287</v>
      </c>
      <c r="F43" s="1">
        <f>+'P y G'!F21</f>
        <v>5.786608260693586</v>
      </c>
      <c r="G43" s="1">
        <f>+'P y G'!G21</f>
        <v>5.6692479712194634</v>
      </c>
      <c r="H43" s="1">
        <f>+'P y G'!H21</f>
        <v>5.5512764302376638</v>
      </c>
      <c r="I43" s="1">
        <f>+'P y G'!I21</f>
        <v>5.4326904541465844</v>
      </c>
      <c r="J43" s="1">
        <f>+'P y G'!J21</f>
        <v>5.3134868427633632</v>
      </c>
      <c r="K43" s="1">
        <f>+'P y G'!K21</f>
        <v>5.1936623792375221</v>
      </c>
      <c r="L43" s="1">
        <f>+'P y G'!L21</f>
        <v>5.0732138299641498</v>
      </c>
      <c r="M43" s="1">
        <f>+'P y G'!M21</f>
        <v>4.9521379444966458</v>
      </c>
    </row>
    <row r="44" spans="1:13">
      <c r="A44" s="38" t="s">
        <v>19</v>
      </c>
      <c r="B44" s="7">
        <f>SUM(B34:B43)</f>
        <v>146.31978383972498</v>
      </c>
      <c r="C44" s="7">
        <f t="shared" ref="C44:M44" si="5">SUM(C34:C43)</f>
        <v>28.319783839724987</v>
      </c>
      <c r="D44" s="7">
        <f t="shared" si="5"/>
        <v>1843.3197838397248</v>
      </c>
      <c r="E44" s="7">
        <f t="shared" si="5"/>
        <v>28.319783839724987</v>
      </c>
      <c r="F44" s="7">
        <f t="shared" si="5"/>
        <v>28.319783839724987</v>
      </c>
      <c r="G44" s="7">
        <f t="shared" si="5"/>
        <v>73.319783839724991</v>
      </c>
      <c r="H44" s="7">
        <f t="shared" si="5"/>
        <v>117.13183975370328</v>
      </c>
      <c r="I44" s="7">
        <f t="shared" si="5"/>
        <v>28.319783839724987</v>
      </c>
      <c r="J44" s="7">
        <f t="shared" si="5"/>
        <v>28.319783839724987</v>
      </c>
      <c r="K44" s="7">
        <f t="shared" si="5"/>
        <v>320.85849996875714</v>
      </c>
      <c r="L44" s="7">
        <f t="shared" si="5"/>
        <v>28.319783839724987</v>
      </c>
      <c r="M44" s="14">
        <f t="shared" si="5"/>
        <v>28.319783839724987</v>
      </c>
    </row>
    <row r="45" spans="1:13">
      <c r="A45" s="45"/>
      <c r="B45" s="11"/>
      <c r="C45" s="11"/>
      <c r="D45" s="11"/>
      <c r="E45" s="11"/>
      <c r="F45" s="11"/>
      <c r="G45" s="11"/>
      <c r="H45" s="11"/>
      <c r="I45" s="11"/>
      <c r="J45" s="11"/>
      <c r="K45" s="11"/>
      <c r="L45" s="11"/>
      <c r="M45" s="116"/>
    </row>
    <row r="46" spans="1:13" ht="13.5" thickBot="1">
      <c r="A46" s="39" t="s">
        <v>44</v>
      </c>
      <c r="B46" s="27">
        <f>+B31-B44</f>
        <v>-145.48645050639163</v>
      </c>
      <c r="C46" s="27">
        <f t="shared" ref="C46:M46" si="6">+C31-C44</f>
        <v>-27.486450506391655</v>
      </c>
      <c r="D46" s="27">
        <f t="shared" si="6"/>
        <v>-842.48645050639141</v>
      </c>
      <c r="E46" s="27">
        <f t="shared" si="6"/>
        <v>-27.486450506391655</v>
      </c>
      <c r="F46" s="27">
        <f t="shared" si="6"/>
        <v>-27.486450506391655</v>
      </c>
      <c r="G46" s="27">
        <f t="shared" si="6"/>
        <v>913.01354949360837</v>
      </c>
      <c r="H46" s="27">
        <f t="shared" si="6"/>
        <v>-116.29850642036995</v>
      </c>
      <c r="I46" s="27">
        <f t="shared" si="6"/>
        <v>-27.486450506391655</v>
      </c>
      <c r="J46" s="27">
        <f t="shared" si="6"/>
        <v>-27.486450506391655</v>
      </c>
      <c r="K46" s="27">
        <f t="shared" si="6"/>
        <v>-320.02516663542383</v>
      </c>
      <c r="L46" s="27">
        <f t="shared" si="6"/>
        <v>-27.486450506391655</v>
      </c>
      <c r="M46" s="28">
        <f t="shared" si="6"/>
        <v>-27.486450506391655</v>
      </c>
    </row>
    <row r="47" spans="1:13">
      <c r="A47" s="10"/>
      <c r="B47" s="3"/>
      <c r="C47" s="3"/>
      <c r="D47" s="3"/>
      <c r="E47" s="3"/>
      <c r="F47" s="3"/>
      <c r="G47" s="3"/>
      <c r="H47" s="3"/>
      <c r="I47" s="3"/>
      <c r="J47" s="3"/>
      <c r="K47" s="3"/>
      <c r="L47" s="3"/>
      <c r="M47" s="3"/>
    </row>
    <row r="48" spans="1:13" ht="13.5" thickBot="1">
      <c r="A48" s="3"/>
      <c r="B48" s="3"/>
      <c r="C48" s="3"/>
      <c r="D48" s="3"/>
      <c r="E48" s="3"/>
      <c r="F48" s="3"/>
      <c r="G48" s="3"/>
      <c r="H48" s="3"/>
      <c r="I48" s="3"/>
      <c r="J48" s="3"/>
      <c r="K48" s="3"/>
      <c r="L48" s="3"/>
      <c r="M48" s="3"/>
    </row>
    <row r="49" spans="1:13">
      <c r="A49" s="41" t="s">
        <v>21</v>
      </c>
      <c r="B49" s="26">
        <f t="shared" ref="B49:M49" si="7">+B5+B20+B46</f>
        <v>-104.48615610330364</v>
      </c>
      <c r="C49" s="26">
        <f t="shared" si="7"/>
        <v>-1984.0375093392247</v>
      </c>
      <c r="D49" s="26">
        <f t="shared" si="7"/>
        <v>-2707.4050274496967</v>
      </c>
      <c r="E49" s="26">
        <f t="shared" si="7"/>
        <v>-2700.9944810440402</v>
      </c>
      <c r="F49" s="26">
        <f t="shared" si="7"/>
        <v>-2694.5839346383837</v>
      </c>
      <c r="G49" s="26">
        <f t="shared" si="7"/>
        <v>-2130.2437769837607</v>
      </c>
      <c r="H49" s="26">
        <f t="shared" si="7"/>
        <v>-2212.6452864920825</v>
      </c>
      <c r="I49" s="26">
        <f t="shared" si="7"/>
        <v>-2206.2347400864255</v>
      </c>
      <c r="J49" s="26">
        <f t="shared" si="7"/>
        <v>-2199.824193680769</v>
      </c>
      <c r="K49" s="26">
        <f t="shared" si="7"/>
        <v>-2485.9523634041448</v>
      </c>
      <c r="L49" s="26">
        <f t="shared" si="7"/>
        <v>-2479.5418169984878</v>
      </c>
      <c r="M49" s="23">
        <f t="shared" si="7"/>
        <v>-2473.1312705928312</v>
      </c>
    </row>
    <row r="50" spans="1:13">
      <c r="A50" s="42" t="s">
        <v>22</v>
      </c>
      <c r="B50" s="7">
        <f>+'Datos Previsiones'!C39</f>
        <v>0</v>
      </c>
      <c r="C50" s="7">
        <f>+'Datos Previsiones'!$C$39</f>
        <v>0</v>
      </c>
      <c r="D50" s="7">
        <f>+'Datos Previsiones'!$C$39</f>
        <v>0</v>
      </c>
      <c r="E50" s="7">
        <f>+'Datos Previsiones'!$C$39</f>
        <v>0</v>
      </c>
      <c r="F50" s="7">
        <f>+'Datos Previsiones'!$C$39</f>
        <v>0</v>
      </c>
      <c r="G50" s="7">
        <f>+'Datos Previsiones'!$C$39</f>
        <v>0</v>
      </c>
      <c r="H50" s="7">
        <f>+'Datos Previsiones'!$C$39</f>
        <v>0</v>
      </c>
      <c r="I50" s="7">
        <f>+'Datos Previsiones'!$C$39</f>
        <v>0</v>
      </c>
      <c r="J50" s="7">
        <f>+'Datos Previsiones'!$C$39</f>
        <v>0</v>
      </c>
      <c r="K50" s="7">
        <f>+'Datos Previsiones'!$C$39</f>
        <v>0</v>
      </c>
      <c r="L50" s="7">
        <f>+'Datos Previsiones'!$C$39</f>
        <v>0</v>
      </c>
      <c r="M50" s="14">
        <f>++'Datos Previsiones'!$C$39</f>
        <v>0</v>
      </c>
    </row>
    <row r="51" spans="1:13" ht="13.5" thickBot="1">
      <c r="A51" s="43" t="s">
        <v>23</v>
      </c>
      <c r="B51" s="16">
        <f t="shared" ref="B51:M51" si="8">+B49-B50</f>
        <v>-104.48615610330364</v>
      </c>
      <c r="C51" s="16">
        <f t="shared" si="8"/>
        <v>-1984.0375093392247</v>
      </c>
      <c r="D51" s="16">
        <f t="shared" si="8"/>
        <v>-2707.4050274496967</v>
      </c>
      <c r="E51" s="16">
        <f t="shared" si="8"/>
        <v>-2700.9944810440402</v>
      </c>
      <c r="F51" s="16">
        <f t="shared" si="8"/>
        <v>-2694.5839346383837</v>
      </c>
      <c r="G51" s="16">
        <f t="shared" si="8"/>
        <v>-2130.2437769837607</v>
      </c>
      <c r="H51" s="16">
        <f t="shared" si="8"/>
        <v>-2212.6452864920825</v>
      </c>
      <c r="I51" s="16">
        <f t="shared" si="8"/>
        <v>-2206.2347400864255</v>
      </c>
      <c r="J51" s="16">
        <f t="shared" si="8"/>
        <v>-2199.824193680769</v>
      </c>
      <c r="K51" s="16">
        <f t="shared" si="8"/>
        <v>-2485.9523634041448</v>
      </c>
      <c r="L51" s="16">
        <f t="shared" si="8"/>
        <v>-2479.5418169984878</v>
      </c>
      <c r="M51" s="17">
        <f t="shared" si="8"/>
        <v>-2473.1312705928312</v>
      </c>
    </row>
  </sheetData>
  <phoneticPr fontId="1" type="noConversion"/>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codeName="Hoja4"/>
  <dimension ref="B2:O34"/>
  <sheetViews>
    <sheetView showGridLines="0" zoomScale="90" zoomScaleNormal="90" workbookViewId="0">
      <selection activeCell="R34" sqref="R34"/>
    </sheetView>
  </sheetViews>
  <sheetFormatPr baseColWidth="10" defaultRowHeight="12.75"/>
  <cols>
    <col min="1" max="1" width="14.140625" style="4" customWidth="1"/>
    <col min="2" max="2" width="31.7109375" style="4" bestFit="1" customWidth="1"/>
    <col min="3" max="3" width="10.140625" style="4" customWidth="1"/>
    <col min="4" max="15" width="10.140625" style="66" customWidth="1"/>
    <col min="16" max="16384" width="11.42578125" style="4"/>
  </cols>
  <sheetData>
    <row r="2" spans="2:15">
      <c r="I2" s="66" t="s">
        <v>24</v>
      </c>
    </row>
    <row r="3" spans="2:15" ht="13.5" thickBot="1"/>
    <row r="4" spans="2:15">
      <c r="B4" s="49" t="str">
        <f>+'Datos Historicos'!B3</f>
        <v>ACTIVO</v>
      </c>
      <c r="C4" s="69" t="str">
        <f>+'Datos Historicos'!C3</f>
        <v>A. B</v>
      </c>
      <c r="D4" s="69" t="s">
        <v>1</v>
      </c>
      <c r="E4" s="69" t="s">
        <v>3</v>
      </c>
      <c r="F4" s="69" t="s">
        <v>4</v>
      </c>
      <c r="G4" s="69" t="s">
        <v>5</v>
      </c>
      <c r="H4" s="69" t="s">
        <v>6</v>
      </c>
      <c r="I4" s="69" t="s">
        <v>7</v>
      </c>
      <c r="J4" s="69" t="s">
        <v>8</v>
      </c>
      <c r="K4" s="69" t="s">
        <v>9</v>
      </c>
      <c r="L4" s="69" t="s">
        <v>10</v>
      </c>
      <c r="M4" s="69" t="s">
        <v>11</v>
      </c>
      <c r="N4" s="69" t="s">
        <v>12</v>
      </c>
      <c r="O4" s="195" t="s">
        <v>13</v>
      </c>
    </row>
    <row r="5" spans="2:15">
      <c r="B5" s="50" t="str">
        <f>+'Datos Historicos'!B4</f>
        <v>INMOV MAT e INMAT BRUTO</v>
      </c>
      <c r="C5" s="68">
        <f>+'Datos Historicos'!C4</f>
        <v>6490</v>
      </c>
      <c r="D5" s="68">
        <f>+C5+'Datos Previsiones'!C5-'Datos Previsiones'!C14</f>
        <v>6490</v>
      </c>
      <c r="E5" s="68">
        <f>+D5+'Datos Previsiones'!D5-'Datos Previsiones'!D14</f>
        <v>6490</v>
      </c>
      <c r="F5" s="68">
        <f>+E5+'Datos Previsiones'!E5-'Datos Previsiones'!E14</f>
        <v>7990</v>
      </c>
      <c r="G5" s="68">
        <f>+F5+'Datos Previsiones'!F5-'Datos Previsiones'!F14</f>
        <v>7990</v>
      </c>
      <c r="H5" s="68">
        <f>+G5+'Datos Previsiones'!G5-'Datos Previsiones'!G14</f>
        <v>7990</v>
      </c>
      <c r="I5" s="68">
        <f>+H5+'Datos Previsiones'!H5-'Datos Previsiones'!H14</f>
        <v>7490</v>
      </c>
      <c r="J5" s="68">
        <f>+I5+'Datos Previsiones'!I5-'Datos Previsiones'!I14</f>
        <v>7490</v>
      </c>
      <c r="K5" s="68">
        <f>+J5+'Datos Previsiones'!J5-'Datos Previsiones'!J14</f>
        <v>7490</v>
      </c>
      <c r="L5" s="68">
        <f>+K5+'Datos Previsiones'!K5-'Datos Previsiones'!K14</f>
        <v>7490</v>
      </c>
      <c r="M5" s="68">
        <f>+L5+'Datos Previsiones'!L5-'Datos Previsiones'!L14</f>
        <v>7490</v>
      </c>
      <c r="N5" s="68">
        <f>+M5+'Datos Previsiones'!M5-'Datos Previsiones'!M14</f>
        <v>7490</v>
      </c>
      <c r="O5" s="64">
        <f>+N5+'Datos Previsiones'!N5-'Datos Previsiones'!N14</f>
        <v>7490</v>
      </c>
    </row>
    <row r="6" spans="2:15">
      <c r="B6" s="50" t="str">
        <f>+'Datos Historicos'!B5</f>
        <v>AMORTIZACIONES</v>
      </c>
      <c r="C6" s="68">
        <f>+'Datos Historicos'!C5</f>
        <v>-1100</v>
      </c>
      <c r="D6" s="68">
        <f>+C6-'P y G'!B17+'Datos Previsiones'!C15</f>
        <v>-1100</v>
      </c>
      <c r="E6" s="68">
        <f>+D6-'P y G'!C17+'Datos Previsiones'!D15</f>
        <v>-1100</v>
      </c>
      <c r="F6" s="68">
        <f>+E6-'P y G'!D17+'Datos Previsiones'!E15</f>
        <v>-1100</v>
      </c>
      <c r="G6" s="68">
        <f>+F6-'P y G'!E17+'Datos Previsiones'!F15</f>
        <v>-1100</v>
      </c>
      <c r="H6" s="68">
        <f>+G6-'P y G'!F17+'Datos Previsiones'!G15</f>
        <v>-1100</v>
      </c>
      <c r="I6" s="68">
        <f>+H6-'P y G'!G17+'Datos Previsiones'!H15</f>
        <v>-660</v>
      </c>
      <c r="J6" s="68">
        <f>+I6-'P y G'!H17+'Datos Previsiones'!I15</f>
        <v>-660</v>
      </c>
      <c r="K6" s="68">
        <f>+J6-'P y G'!I17+'Datos Previsiones'!J15</f>
        <v>-660</v>
      </c>
      <c r="L6" s="68">
        <f>+K6-'P y G'!J17+'Datos Previsiones'!K15</f>
        <v>-660</v>
      </c>
      <c r="M6" s="68">
        <f>+L6-'P y G'!K17+'Datos Previsiones'!L15</f>
        <v>-660</v>
      </c>
      <c r="N6" s="68">
        <f>+M6-'P y G'!L17+'Datos Previsiones'!M15</f>
        <v>-660</v>
      </c>
      <c r="O6" s="64">
        <f>+N6-'P y G'!M17+'Datos Previsiones'!N15</f>
        <v>-660</v>
      </c>
    </row>
    <row r="7" spans="2:15">
      <c r="B7" s="50" t="str">
        <f>+'Datos Historicos'!B6</f>
        <v>INMOVILIZADO FINANCIERO</v>
      </c>
      <c r="C7" s="68">
        <f>+'Datos Historicos'!C6</f>
        <v>250</v>
      </c>
      <c r="D7" s="68">
        <f>+C7+'Datos Previsiones'!C7-'Datos Previsiones'!C17</f>
        <v>250</v>
      </c>
      <c r="E7" s="68">
        <f>+D7+'Datos Previsiones'!D7-'Datos Previsiones'!D17</f>
        <v>250</v>
      </c>
      <c r="F7" s="68">
        <f>+E7+'Datos Previsiones'!E7-'Datos Previsiones'!E17</f>
        <v>250</v>
      </c>
      <c r="G7" s="68">
        <f>+F7+'Datos Previsiones'!F7-'Datos Previsiones'!F17</f>
        <v>250</v>
      </c>
      <c r="H7" s="68">
        <f>+G7+'Datos Previsiones'!G7-'Datos Previsiones'!G17</f>
        <v>250</v>
      </c>
      <c r="I7" s="68">
        <f>+H7+'Datos Previsiones'!H7-'Datos Previsiones'!H17</f>
        <v>125</v>
      </c>
      <c r="J7" s="68">
        <f>+I7+'Datos Previsiones'!I7-'Datos Previsiones'!I17</f>
        <v>125</v>
      </c>
      <c r="K7" s="68">
        <f>+J7+'Datos Previsiones'!J7-'Datos Previsiones'!J17</f>
        <v>125</v>
      </c>
      <c r="L7" s="68">
        <f>+K7+'Datos Previsiones'!K7-'Datos Previsiones'!K17</f>
        <v>125</v>
      </c>
      <c r="M7" s="68">
        <f>+L7+'Datos Previsiones'!L7-'Datos Previsiones'!L17</f>
        <v>125</v>
      </c>
      <c r="N7" s="68">
        <f>+M7+'Datos Previsiones'!M7-'Datos Previsiones'!M17</f>
        <v>125</v>
      </c>
      <c r="O7" s="64">
        <f>+N7+'Datos Previsiones'!N7-'Datos Previsiones'!N17</f>
        <v>125</v>
      </c>
    </row>
    <row r="8" spans="2:15">
      <c r="B8" s="50" t="str">
        <f>+'Datos Historicos'!B7</f>
        <v>EXIST. FINAL DE MATERIA PRIMA</v>
      </c>
      <c r="C8" s="68">
        <f>+'Datos Historicos'!C7</f>
        <v>234</v>
      </c>
      <c r="D8" s="68">
        <f>+'Datos Previsiones'!$G$45*('P y G'!B4)</f>
        <v>592.47311827956992</v>
      </c>
      <c r="E8" s="68">
        <f>+'Datos Previsiones'!$G$45*('P y G'!C4)</f>
        <v>592.47311827956992</v>
      </c>
      <c r="F8" s="68">
        <f>+'Datos Previsiones'!$G$45*('P y G'!D4)</f>
        <v>592.47311827956992</v>
      </c>
      <c r="G8" s="68">
        <f>+'Datos Previsiones'!$G$45*('P y G'!E4)</f>
        <v>592.47311827956992</v>
      </c>
      <c r="H8" s="68">
        <f>+'Datos Previsiones'!$G$45*('P y G'!F4)</f>
        <v>592.47311827956992</v>
      </c>
      <c r="I8" s="68">
        <f>+'Datos Previsiones'!$G$45*('P y G'!G4)</f>
        <v>592.47311827956992</v>
      </c>
      <c r="J8" s="68">
        <f>+'Datos Previsiones'!$G$45*('P y G'!H4)</f>
        <v>592.47311827956992</v>
      </c>
      <c r="K8" s="68">
        <f>+'Datos Previsiones'!$G$45*('P y G'!I4)</f>
        <v>592.47311827956992</v>
      </c>
      <c r="L8" s="68">
        <f>+'Datos Previsiones'!$G$45*('P y G'!J4)</f>
        <v>592.47311827956992</v>
      </c>
      <c r="M8" s="68">
        <f>+'Datos Previsiones'!$G$45*('P y G'!K4)</f>
        <v>592.47311827956992</v>
      </c>
      <c r="N8" s="68">
        <f>+'Datos Previsiones'!$G$45*('P y G'!L4)</f>
        <v>592.47311827956992</v>
      </c>
      <c r="O8" s="64">
        <f>+'Datos Previsiones'!$G$45*('P y G'!M4)</f>
        <v>592.47311827956992</v>
      </c>
    </row>
    <row r="9" spans="2:15">
      <c r="B9" s="50" t="str">
        <f>+'Datos Historicos'!B8</f>
        <v>EXIST. FINAL PR. TERMINADO</v>
      </c>
      <c r="C9" s="68">
        <f>+'Datos Historicos'!C8</f>
        <v>360</v>
      </c>
      <c r="D9" s="68">
        <f>+'Datos Previsiones'!$G$45*('P y G'!B4+'P y G'!B5)</f>
        <v>914.69534050179209</v>
      </c>
      <c r="E9" s="68">
        <f>+'Datos Previsiones'!$G$45*('P y G'!C4+'P y G'!C5)</f>
        <v>914.69534050179209</v>
      </c>
      <c r="F9" s="68">
        <f>+'Datos Previsiones'!$G$45*('P y G'!D4+'P y G'!D5)</f>
        <v>914.69534050179209</v>
      </c>
      <c r="G9" s="68">
        <f>+'Datos Previsiones'!$G$45*('P y G'!E4+'P y G'!E5)</f>
        <v>914.69534050179209</v>
      </c>
      <c r="H9" s="68">
        <f>+'Datos Previsiones'!$G$45*('P y G'!F4+'P y G'!F5)</f>
        <v>914.69534050179209</v>
      </c>
      <c r="I9" s="68">
        <f>+'Datos Previsiones'!$G$45*('P y G'!G4+'P y G'!G5)</f>
        <v>914.69534050179209</v>
      </c>
      <c r="J9" s="68">
        <f>+'Datos Previsiones'!$G$45*('P y G'!H4+'P y G'!H5)</f>
        <v>914.69534050179209</v>
      </c>
      <c r="K9" s="68">
        <f>+'Datos Previsiones'!$G$45*('P y G'!I4+'P y G'!I5)</f>
        <v>914.69534050179209</v>
      </c>
      <c r="L9" s="68">
        <f>+'Datos Previsiones'!$G$45*('P y G'!J4+'P y G'!J5)</f>
        <v>914.69534050179209</v>
      </c>
      <c r="M9" s="68">
        <f>+'Datos Previsiones'!$G$45*('P y G'!K4+'P y G'!K5)</f>
        <v>914.69534050179209</v>
      </c>
      <c r="N9" s="68">
        <f>+'Datos Previsiones'!$G$45*('P y G'!L4+'P y G'!L5)</f>
        <v>914.69534050179209</v>
      </c>
      <c r="O9" s="64">
        <f>+'Datos Previsiones'!$G$45*('P y G'!M4+'P y G'!M5)</f>
        <v>914.69534050179209</v>
      </c>
    </row>
    <row r="10" spans="2:15">
      <c r="B10" s="50" t="str">
        <f>+'Datos Historicos'!B9</f>
        <v xml:space="preserve">CLIENTES </v>
      </c>
      <c r="C10" s="68">
        <f>+'Datos Historicos'!C9</f>
        <v>525</v>
      </c>
      <c r="D10" s="68">
        <f>+C10+'P y G'!B3*(1+'Datos Previsiones'!$C$41)-'Financiación corto'!B14-'Datos Previsiones'!C49</f>
        <v>2079.5</v>
      </c>
      <c r="E10" s="68">
        <f>+D10+'P y G'!C3*(1+'Datos Previsiones'!$C$41)-'Financiación corto'!C14-'Datos Previsiones'!D49</f>
        <v>2781.75</v>
      </c>
      <c r="F10" s="68">
        <f>+E10+'P y G'!D3*(1+'Datos Previsiones'!$C$41)-'Financiación corto'!D14-'Datos Previsiones'!E49</f>
        <v>2631.75</v>
      </c>
      <c r="G10" s="68">
        <f>+F10+'P y G'!E3*(1+'Datos Previsiones'!$C$41)-'Financiación corto'!E14-'Datos Previsiones'!F49</f>
        <v>2631.75</v>
      </c>
      <c r="H10" s="68">
        <f>+G10+'P y G'!F3*(1+'Datos Previsiones'!$C$41)-'Financiación corto'!F14-'Datos Previsiones'!G49</f>
        <v>2631.75</v>
      </c>
      <c r="I10" s="68">
        <f>+H10+'P y G'!G3*(1+'Datos Previsiones'!$C$41)-'Financiación corto'!G14-'Datos Previsiones'!H49</f>
        <v>2631.75</v>
      </c>
      <c r="J10" s="68">
        <f>+I10+'P y G'!H3*(1+'Datos Previsiones'!$C$41)-'Financiación corto'!H14-'Datos Previsiones'!I49</f>
        <v>2631.75</v>
      </c>
      <c r="K10" s="68">
        <f>+J10+'P y G'!I3*(1+'Datos Previsiones'!$C$41)-'Financiación corto'!I14-'Datos Previsiones'!J49</f>
        <v>2631.75</v>
      </c>
      <c r="L10" s="68">
        <f>+K10+'P y G'!J3*(1+'Datos Previsiones'!$C$41)-'Financiación corto'!J14-'Datos Previsiones'!K49</f>
        <v>2631.75</v>
      </c>
      <c r="M10" s="68">
        <f>+L10+'P y G'!K3*(1+'Datos Previsiones'!$C$41)-'Financiación corto'!K14-'Datos Previsiones'!L49</f>
        <v>2631.75</v>
      </c>
      <c r="N10" s="68">
        <f>+M10+'P y G'!L3*(1+'Datos Previsiones'!$C$41)-'Financiación corto'!L14-'Datos Previsiones'!M49</f>
        <v>2631.75</v>
      </c>
      <c r="O10" s="64">
        <f>+N10+'P y G'!M3*(1+'Datos Previsiones'!$C$41)-'Financiación corto'!M14-'Datos Previsiones'!N49</f>
        <v>2631.75</v>
      </c>
    </row>
    <row r="11" spans="2:15">
      <c r="B11" s="51" t="str">
        <f>+'Datos Historicos'!B10</f>
        <v>HAC. PUB. DEUDOR: IVA</v>
      </c>
      <c r="C11" s="68">
        <f>+'Datos Historicos'!C10</f>
        <v>0</v>
      </c>
      <c r="D11" s="68">
        <f>+IF(IVA!C8&lt;0,ABS(IVA!C8),0)</f>
        <v>94.252470967741971</v>
      </c>
      <c r="E11" s="68">
        <f>+IF(IVA!D8&lt;0,ABS(IVA!D8),0)</f>
        <v>0</v>
      </c>
      <c r="F11" s="68">
        <f>+IF(IVA!E8&lt;0,ABS(IVA!E8),0)</f>
        <v>214.22666021505387</v>
      </c>
      <c r="G11" s="68">
        <f>+IF(IVA!F8&lt;0,ABS(IVA!F8),0)</f>
        <v>116.71375483870982</v>
      </c>
      <c r="H11" s="68">
        <f>+IF(IVA!G8&lt;0,ABS(IVA!G8),0)</f>
        <v>19.200849462365767</v>
      </c>
      <c r="I11" s="68">
        <f>+IF(IVA!H8&lt;0,ABS(IVA!H8),0)</f>
        <v>0</v>
      </c>
      <c r="J11" s="68">
        <f>+IF(IVA!I8&lt;0,ABS(IVA!I8),0)</f>
        <v>0</v>
      </c>
      <c r="K11" s="68">
        <f>+IF(IVA!J8&lt;0,ABS(IVA!J8),0)</f>
        <v>0</v>
      </c>
      <c r="L11" s="68">
        <f>+IF(IVA!K8&lt;0,ABS(IVA!K8),0)</f>
        <v>0</v>
      </c>
      <c r="M11" s="68">
        <f>+IF(IVA!L8&lt;0,ABS(IVA!L8),0)</f>
        <v>0</v>
      </c>
      <c r="N11" s="68">
        <f>+IF(IVA!M8&lt;0,ABS(IVA!M8),0)</f>
        <v>0</v>
      </c>
      <c r="O11" s="68">
        <f>+IF(IVA!N8&lt;0,ABS(IVA!N8),0)</f>
        <v>0</v>
      </c>
    </row>
    <row r="12" spans="2:15" ht="13.5" thickBot="1">
      <c r="B12" s="52" t="str">
        <f>+'Datos Historicos'!B11</f>
        <v>TESORERIA</v>
      </c>
      <c r="C12" s="70">
        <f>+'Datos Historicos'!C11</f>
        <v>315</v>
      </c>
      <c r="D12" s="70">
        <f>+Tesorería!B51</f>
        <v>-104.48615610330364</v>
      </c>
      <c r="E12" s="70">
        <f>+Tesorería!C51</f>
        <v>-1984.0375093392247</v>
      </c>
      <c r="F12" s="70">
        <f>+Tesorería!D51</f>
        <v>-2707.4050274496967</v>
      </c>
      <c r="G12" s="70">
        <f>+Tesorería!E51</f>
        <v>-2700.9944810440402</v>
      </c>
      <c r="H12" s="70">
        <f>+Tesorería!F51</f>
        <v>-2694.5839346383837</v>
      </c>
      <c r="I12" s="70">
        <f>+Tesorería!G51</f>
        <v>-2130.2437769837607</v>
      </c>
      <c r="J12" s="70">
        <f>+Tesorería!H51</f>
        <v>-2212.6452864920825</v>
      </c>
      <c r="K12" s="70">
        <f>+Tesorería!I51</f>
        <v>-2206.2347400864255</v>
      </c>
      <c r="L12" s="70">
        <f>+Tesorería!J51</f>
        <v>-2199.824193680769</v>
      </c>
      <c r="M12" s="70">
        <f>+Tesorería!K51</f>
        <v>-2485.9523634041448</v>
      </c>
      <c r="N12" s="70">
        <f>+Tesorería!L51</f>
        <v>-2479.5418169984878</v>
      </c>
      <c r="O12" s="194">
        <f>+Tesorería!M51</f>
        <v>-2473.1312705928312</v>
      </c>
    </row>
    <row r="13" spans="2:15" ht="13.5" thickBot="1">
      <c r="B13" s="53" t="str">
        <f>+'Datos Historicos'!B20</f>
        <v xml:space="preserve">TOTAL </v>
      </c>
      <c r="C13" s="70">
        <f>SUM(C5:C12)</f>
        <v>7074</v>
      </c>
      <c r="D13" s="70">
        <f>SUM(D5:D12)</f>
        <v>9216.4347736458003</v>
      </c>
      <c r="E13" s="70">
        <f>SUM(E5:E12)</f>
        <v>7944.8809494421366</v>
      </c>
      <c r="F13" s="70">
        <f>SUM(F5:F12)</f>
        <v>8785.7400915467188</v>
      </c>
      <c r="G13" s="70">
        <f>SUM(G5:G12)</f>
        <v>8694.6377325760295</v>
      </c>
      <c r="H13" s="70">
        <f>SUM(H5:H12)</f>
        <v>8603.5353736053439</v>
      </c>
      <c r="I13" s="70">
        <f>SUM(I5:I12)</f>
        <v>8963.6746817976018</v>
      </c>
      <c r="J13" s="70">
        <f>SUM(J5:J12)</f>
        <v>8881.2731722892786</v>
      </c>
      <c r="K13" s="70">
        <f>SUM(K5:K12)</f>
        <v>8887.683718694936</v>
      </c>
      <c r="L13" s="70">
        <f>SUM(L5:L12)</f>
        <v>8894.0942651005935</v>
      </c>
      <c r="M13" s="70">
        <f>SUM(M5:M12)</f>
        <v>8607.9660953772163</v>
      </c>
      <c r="N13" s="70">
        <f>SUM(N5:N12)</f>
        <v>8614.3766417828738</v>
      </c>
      <c r="O13" s="194">
        <f>SUM(O5:O12)</f>
        <v>8620.7871881885294</v>
      </c>
    </row>
    <row r="14" spans="2:15" ht="13.5" thickBot="1">
      <c r="B14" s="54"/>
      <c r="C14" s="71"/>
      <c r="D14" s="71"/>
      <c r="E14" s="71"/>
      <c r="F14" s="71"/>
      <c r="G14" s="71"/>
      <c r="H14" s="71"/>
      <c r="I14" s="71"/>
      <c r="J14" s="71"/>
      <c r="K14" s="71"/>
      <c r="L14" s="71"/>
      <c r="M14" s="71"/>
      <c r="N14" s="71"/>
      <c r="O14" s="71"/>
    </row>
    <row r="15" spans="2:15" ht="13.5" thickBot="1">
      <c r="B15" s="49" t="str">
        <f>+'Datos Historicos'!E3</f>
        <v>PASIVO</v>
      </c>
      <c r="C15" s="69" t="str">
        <f>+'Datos Historicos'!F3</f>
        <v>A. B</v>
      </c>
      <c r="D15" s="69" t="s">
        <v>1</v>
      </c>
      <c r="E15" s="69" t="s">
        <v>3</v>
      </c>
      <c r="F15" s="69" t="s">
        <v>4</v>
      </c>
      <c r="G15" s="69" t="s">
        <v>5</v>
      </c>
      <c r="H15" s="69" t="s">
        <v>6</v>
      </c>
      <c r="I15" s="69" t="s">
        <v>7</v>
      </c>
      <c r="J15" s="69" t="s">
        <v>8</v>
      </c>
      <c r="K15" s="69" t="s">
        <v>9</v>
      </c>
      <c r="L15" s="69" t="s">
        <v>10</v>
      </c>
      <c r="M15" s="69" t="s">
        <v>11</v>
      </c>
      <c r="N15" s="69" t="s">
        <v>12</v>
      </c>
      <c r="O15" s="195" t="s">
        <v>13</v>
      </c>
    </row>
    <row r="16" spans="2:15">
      <c r="B16" s="55" t="str">
        <f>+'Datos Historicos'!E4</f>
        <v>CAPITAL SOCIAL</v>
      </c>
      <c r="C16" s="67">
        <f>+'Datos Historicos'!F4</f>
        <v>3320</v>
      </c>
      <c r="D16" s="67">
        <f>+C16+'Datos Previsiones'!C18</f>
        <v>3320</v>
      </c>
      <c r="E16" s="67">
        <f>+D16+'Datos Previsiones'!D18</f>
        <v>3320</v>
      </c>
      <c r="F16" s="67">
        <f>+E16+'Datos Previsiones'!E18</f>
        <v>4320</v>
      </c>
      <c r="G16" s="67">
        <f>+F16+'Datos Previsiones'!F18</f>
        <v>4320</v>
      </c>
      <c r="H16" s="67">
        <f>+G16+'Datos Previsiones'!G18</f>
        <v>4320</v>
      </c>
      <c r="I16" s="67">
        <f>+H16+'Datos Previsiones'!H18</f>
        <v>4320</v>
      </c>
      <c r="J16" s="67">
        <f>+I16+'Datos Previsiones'!I18</f>
        <v>4320</v>
      </c>
      <c r="K16" s="67">
        <f>+J16+'Datos Previsiones'!J18</f>
        <v>4320</v>
      </c>
      <c r="L16" s="67">
        <f>+K16+'Datos Previsiones'!K18</f>
        <v>4320</v>
      </c>
      <c r="M16" s="67">
        <f>+L16+'Datos Previsiones'!L18</f>
        <v>4320</v>
      </c>
      <c r="N16" s="67">
        <f>+M16+'Datos Previsiones'!M18</f>
        <v>4320</v>
      </c>
      <c r="O16" s="63">
        <f>+N16+'Datos Previsiones'!N18</f>
        <v>4320</v>
      </c>
    </row>
    <row r="17" spans="2:15">
      <c r="B17" s="56" t="str">
        <f>+'Datos Historicos'!E5</f>
        <v>RESERVAS</v>
      </c>
      <c r="C17" s="68">
        <f>+'Datos Historicos'!F5</f>
        <v>1778</v>
      </c>
      <c r="D17" s="68">
        <f>+C17+C18+('Datos Previsiones'!C19-'Datos Previsiones'!C18)</f>
        <v>1911</v>
      </c>
      <c r="E17" s="68">
        <f>+D17+('Datos Previsiones'!D19-'Datos Previsiones'!D18)</f>
        <v>1911</v>
      </c>
      <c r="F17" s="68">
        <f>+E17+('Datos Previsiones'!E19-'Datos Previsiones'!E18)</f>
        <v>1911</v>
      </c>
      <c r="G17" s="68">
        <f>+F17+('Datos Previsiones'!F19-'Datos Previsiones'!F18)</f>
        <v>1911</v>
      </c>
      <c r="H17" s="68">
        <f>+G17+('Datos Previsiones'!G19-'Datos Previsiones'!G18)</f>
        <v>1911</v>
      </c>
      <c r="I17" s="68">
        <f>+H17+('Datos Previsiones'!H19-'Datos Previsiones'!H18)</f>
        <v>1911</v>
      </c>
      <c r="J17" s="68">
        <f>+I17+('Datos Previsiones'!I19-'Datos Previsiones'!I18)</f>
        <v>1911</v>
      </c>
      <c r="K17" s="68">
        <f>+J17+('Datos Previsiones'!J19-'Datos Previsiones'!J18)</f>
        <v>1911</v>
      </c>
      <c r="L17" s="68">
        <f>+K17+('Datos Previsiones'!K19-'Datos Previsiones'!K18)</f>
        <v>1911</v>
      </c>
      <c r="M17" s="68">
        <f>+L17+('Datos Previsiones'!L19-'Datos Previsiones'!L18)</f>
        <v>1911</v>
      </c>
      <c r="N17" s="68">
        <f>+M17+('Datos Previsiones'!M19-'Datos Previsiones'!M18)</f>
        <v>1911</v>
      </c>
      <c r="O17" s="64">
        <f>+N17+('Datos Previsiones'!N19-'Datos Previsiones'!N18)</f>
        <v>1911</v>
      </c>
    </row>
    <row r="18" spans="2:15">
      <c r="B18" s="56" t="str">
        <f>+'Datos Historicos'!E6</f>
        <v>PERDIDAS Y GANANCIAS</v>
      </c>
      <c r="C18" s="68">
        <f>+'Datos Historicos'!F6</f>
        <v>133</v>
      </c>
      <c r="D18" s="68">
        <f>+'P y G'!B26</f>
        <v>-109.7173835125448</v>
      </c>
      <c r="E18" s="68">
        <f>+'P y G'!C26</f>
        <v>-219.31982023425769</v>
      </c>
      <c r="F18" s="68">
        <f>+'P y G'!D26</f>
        <v>-328.80671148393645</v>
      </c>
      <c r="G18" s="68">
        <f>+'P y G'!E26</f>
        <v>-438.17745546224751</v>
      </c>
      <c r="H18" s="68">
        <f>+'P y G'!F26</f>
        <v>-547.43144723548585</v>
      </c>
      <c r="I18" s="68">
        <f>+'P y G'!G26</f>
        <v>-666.56807871925014</v>
      </c>
      <c r="J18" s="68">
        <f>+'P y G'!H26</f>
        <v>-775.58673866203264</v>
      </c>
      <c r="K18" s="68">
        <f>+'P y G'!I26</f>
        <v>-884.48681262872401</v>
      </c>
      <c r="L18" s="68">
        <f>+'P y G'!J26</f>
        <v>-993.26768298403215</v>
      </c>
      <c r="M18" s="68">
        <f>+'P y G'!K26</f>
        <v>-1101.9287288758144</v>
      </c>
      <c r="N18" s="68">
        <f>+'P y G'!L26</f>
        <v>-1210.4693262183234</v>
      </c>
      <c r="O18" s="64">
        <f>+'P y G'!M26</f>
        <v>-1318.8888476753648</v>
      </c>
    </row>
    <row r="19" spans="2:15">
      <c r="B19" s="56" t="str">
        <f>+'Datos Historicos'!E7</f>
        <v>EMPRESTITOS</v>
      </c>
      <c r="C19" s="68">
        <f>+'Datos Historicos'!F7</f>
        <v>0</v>
      </c>
      <c r="D19" s="68">
        <f>+C19+'Datos Previsiones'!C20-'Datos Previsiones'!C8</f>
        <v>0</v>
      </c>
      <c r="E19" s="68">
        <f>+D19+'Datos Previsiones'!D20-'Datos Previsiones'!D8</f>
        <v>0</v>
      </c>
      <c r="F19" s="68">
        <f>+E19+'Datos Previsiones'!E20-'Datos Previsiones'!E8</f>
        <v>0</v>
      </c>
      <c r="G19" s="68">
        <f>+F19+'Datos Previsiones'!F20-'Datos Previsiones'!F8</f>
        <v>0</v>
      </c>
      <c r="H19" s="68">
        <f>+G19+'Datos Previsiones'!G20-'Datos Previsiones'!G8</f>
        <v>0</v>
      </c>
      <c r="I19" s="68">
        <f>+H19+'Datos Previsiones'!H20-'Datos Previsiones'!H8</f>
        <v>0</v>
      </c>
      <c r="J19" s="68">
        <f>+I19+'Datos Previsiones'!I20-'Datos Previsiones'!I8</f>
        <v>0</v>
      </c>
      <c r="K19" s="68">
        <f>+J19+'Datos Previsiones'!J20-'Datos Previsiones'!J8</f>
        <v>0</v>
      </c>
      <c r="L19" s="68">
        <f>+K19+'Datos Previsiones'!K20-'Datos Previsiones'!K8</f>
        <v>0</v>
      </c>
      <c r="M19" s="68">
        <f>+L19+'Datos Previsiones'!L20-'Datos Previsiones'!L8</f>
        <v>0</v>
      </c>
      <c r="N19" s="68">
        <f>+M19+'Datos Previsiones'!M20-'Datos Previsiones'!M8</f>
        <v>0</v>
      </c>
      <c r="O19" s="64">
        <f>+N19+'Datos Previsiones'!N20-'Datos Previsiones'!N8</f>
        <v>0</v>
      </c>
    </row>
    <row r="20" spans="2:15">
      <c r="B20" s="56" t="str">
        <f>+'Datos Historicos'!E8</f>
        <v>PRESTAMOS A LARGO PLAZO</v>
      </c>
      <c r="C20" s="68">
        <f>+'Datos Historicos'!F8</f>
        <v>927.44283944812742</v>
      </c>
      <c r="D20" s="68">
        <f>+C20+'Datos Previsiones'!C21-Prestamos!C22-Prestamos!C42</f>
        <v>903.95348706386142</v>
      </c>
      <c r="E20" s="68">
        <f>+D20+'Datos Previsiones'!D21-Prestamos!D22-Prestamos!D42</f>
        <v>880.34179430259405</v>
      </c>
      <c r="F20" s="68">
        <f>+E20+'Datos Previsiones'!E21-Prestamos!E22-Prestamos!E42</f>
        <v>856.60712397486179</v>
      </c>
      <c r="G20" s="68">
        <f>+F20+'Datos Previsiones'!F21-Prestamos!F22-Prestamos!F42</f>
        <v>832.74883557250587</v>
      </c>
      <c r="H20" s="68">
        <f>+G20+'Datos Previsiones'!G21-Prestamos!G22-Prestamos!G42</f>
        <v>808.76628525138767</v>
      </c>
      <c r="I20" s="68">
        <f>+H20+'Datos Previsiones'!H21-Prestamos!H22-Prestamos!H42</f>
        <v>1584.6588258140137</v>
      </c>
      <c r="J20" s="68">
        <f>+I20+'Datos Previsiones'!I21-Prestamos!I22-Prestamos!I42</f>
        <v>1560.42580669207</v>
      </c>
      <c r="K20" s="68">
        <f>+J20+'Datos Previsiones'!J21-Prestamos!J22-Prestamos!J42</f>
        <v>1536.0665739288661</v>
      </c>
      <c r="L20" s="68">
        <f>+K20+'Datos Previsiones'!K21-Prestamos!K22-Prestamos!K42</f>
        <v>1511.5804701616873</v>
      </c>
      <c r="M20" s="68">
        <f>+L20+'Datos Previsiones'!L21-Prestamos!L22-Prestamos!L42</f>
        <v>1486.9668346040544</v>
      </c>
      <c r="N20" s="68">
        <f>+M20+'Datos Previsiones'!M21-Prestamos!M22-Prestamos!M42</f>
        <v>1462.2250030278922</v>
      </c>
      <c r="O20" s="68">
        <f>+N20+'Datos Previsiones'!N21-Prestamos!N22-Prestamos!N42</f>
        <v>1437.354307745604</v>
      </c>
    </row>
    <row r="21" spans="2:15">
      <c r="B21" s="56" t="str">
        <f>+'Datos Historicos'!E9</f>
        <v>PRESTAMO A CORTO POR DEUDAS A LARGO</v>
      </c>
      <c r="C21" s="68">
        <f>+'Datos Historicos'!F9</f>
        <v>272.55716055187253</v>
      </c>
      <c r="D21" s="68">
        <f>+C21+Prestamos!C22+Prestamos!C42-Prestamos!C15-Prestamos!C34</f>
        <v>273.97672909641352</v>
      </c>
      <c r="E21" s="68">
        <f>+D21+Prestamos!D22+Prestamos!D42-Prestamos!D15-Prestamos!D34</f>
        <v>275.403691227124</v>
      </c>
      <c r="F21" s="68">
        <f>+E21+Prestamos!E22+Prestamos!E42-Prestamos!E15-Prestamos!E34</f>
        <v>276.83808545226526</v>
      </c>
      <c r="G21" s="68">
        <f>+F21+Prestamos!F22+Prestamos!F42-Prestamos!F15-Prestamos!F34</f>
        <v>278.27995048066248</v>
      </c>
      <c r="H21" s="68">
        <f>+G21+Prestamos!G22+Prestamos!G42-Prestamos!G15-Prestamos!G34</f>
        <v>279.72932522274925</v>
      </c>
      <c r="I21" s="68">
        <f>+H21+Prestamos!H22+Prestamos!H42-Prestamos!H15-Prestamos!H34</f>
        <v>281.18624879161774</v>
      </c>
      <c r="J21" s="68">
        <f>+I21+Prestamos!I22+Prestamos!I42-Prestamos!I15-Prestamos!I34</f>
        <v>282.65076050407407</v>
      </c>
      <c r="K21" s="68">
        <f>+J21+Prestamos!J22+Prestamos!J42-Prestamos!J15-Prestamos!J34</f>
        <v>284.12289988169948</v>
      </c>
      <c r="L21" s="68">
        <f>+K21+Prestamos!K22+Prestamos!K42-Prestamos!K15-Prestamos!K34</f>
        <v>285.60270665191666</v>
      </c>
      <c r="M21" s="68">
        <f>+L21+Prestamos!L22+Prestamos!L42-Prestamos!L15-Prestamos!L34</f>
        <v>287.09022074906204</v>
      </c>
      <c r="N21" s="68">
        <f>+M21+Prestamos!M22+Prestamos!M42-Prestamos!M15-Prestamos!M34</f>
        <v>288.58548231546342</v>
      </c>
      <c r="O21" s="68">
        <f>+N21+Prestamos!N22+Prestamos!N42-Prestamos!N15-Prestamos!N34</f>
        <v>290.08853170252314</v>
      </c>
    </row>
    <row r="22" spans="2:15">
      <c r="B22" s="56" t="str">
        <f>+'Datos Historicos'!E10</f>
        <v>CREDITO A CORTO PLAZO</v>
      </c>
      <c r="C22" s="68">
        <f>+'Datos Historicos'!F10</f>
        <v>0</v>
      </c>
      <c r="D22" s="68">
        <f>+C22+'Datos Previsiones'!C22-Prestamos!C54+'Financiación corto'!B31-'Financiación corto'!B32+'Financiación corto'!B42-'Financiación corto'!B43</f>
        <v>0</v>
      </c>
      <c r="E22" s="68">
        <f>+D22+'Datos Previsiones'!D22-Prestamos!D54+'Financiación corto'!C31-'Financiación corto'!C32+'Financiación corto'!C42-'Financiación corto'!C43</f>
        <v>0</v>
      </c>
      <c r="F22" s="68">
        <f>+E22+'Datos Previsiones'!E22-Prestamos!E54+'Financiación corto'!D31-'Financiación corto'!D32+'Financiación corto'!D42-'Financiación corto'!D43</f>
        <v>0</v>
      </c>
      <c r="G22" s="68">
        <f>+F22+'Datos Previsiones'!F22-Prestamos!F54+'Financiación corto'!E31-'Financiación corto'!E32+'Financiación corto'!E42-'Financiación corto'!E43</f>
        <v>0</v>
      </c>
      <c r="H22" s="68">
        <f>+G22+'Datos Previsiones'!G22-Prestamos!G54+'Financiación corto'!F31-'Financiación corto'!F32+'Financiación corto'!F42-'Financiación corto'!F43</f>
        <v>0</v>
      </c>
      <c r="I22" s="68">
        <f>+H22+'Datos Previsiones'!H22-Prestamos!H54+'Financiación corto'!G31-'Financiación corto'!G32+'Financiación corto'!G42-'Financiación corto'!G43</f>
        <v>0</v>
      </c>
      <c r="J22" s="68">
        <f>+I22+'Datos Previsiones'!I22-Prestamos!I54+'Financiación corto'!H31-'Financiación corto'!H32+'Financiación corto'!H42-'Financiación corto'!H43</f>
        <v>0</v>
      </c>
      <c r="K22" s="68">
        <f>+J22+'Datos Previsiones'!J22-Prestamos!J54+'Financiación corto'!I31-'Financiación corto'!I32+'Financiación corto'!I42-'Financiación corto'!I43</f>
        <v>0</v>
      </c>
      <c r="L22" s="68">
        <f>+K22+'Datos Previsiones'!K22-Prestamos!K54+'Financiación corto'!J31-'Financiación corto'!J32+'Financiación corto'!J42-'Financiación corto'!J43</f>
        <v>0</v>
      </c>
      <c r="M22" s="68">
        <f>+L22+'Datos Previsiones'!L22-Prestamos!L54+'Financiación corto'!K31-'Financiación corto'!K32+'Financiación corto'!K42-'Financiación corto'!K43</f>
        <v>0</v>
      </c>
      <c r="N22" s="68">
        <f>+M22+'Datos Previsiones'!M22-Prestamos!M54+'Financiación corto'!L31-'Financiación corto'!L32+'Financiación corto'!L42-'Financiación corto'!L43</f>
        <v>0</v>
      </c>
      <c r="O22" s="68">
        <f>+N22+'Datos Previsiones'!N22-Prestamos!N54+'Financiación corto'!M31-'Financiación corto'!M32+'Financiación corto'!M42-'Financiación corto'!M43</f>
        <v>0</v>
      </c>
    </row>
    <row r="23" spans="2:15">
      <c r="B23" s="56" t="str">
        <f>+'Datos Historicos'!E11</f>
        <v>DEUDAS EFECTOS DESCONTADOS PEND. VTO</v>
      </c>
      <c r="C23" s="68">
        <f>+'Datos Historicos'!F11</f>
        <v>0</v>
      </c>
      <c r="D23" s="68">
        <f>+C23+'Financiación corto'!B19-'Financiación corto'!B24</f>
        <v>0</v>
      </c>
      <c r="E23" s="68">
        <f>+D23+'Financiación corto'!C19-'Financiación corto'!C24</f>
        <v>0</v>
      </c>
      <c r="F23" s="68">
        <f>+E23+'Financiación corto'!D19-'Financiación corto'!D24</f>
        <v>0</v>
      </c>
      <c r="G23" s="68">
        <f>+F23+'Financiación corto'!E19-'Financiación corto'!E24</f>
        <v>0</v>
      </c>
      <c r="H23" s="68">
        <f>+G23+'Financiación corto'!F19-'Financiación corto'!F24</f>
        <v>0</v>
      </c>
      <c r="I23" s="68">
        <f>+H23+'Financiación corto'!G19-'Financiación corto'!G24</f>
        <v>0</v>
      </c>
      <c r="J23" s="68">
        <f>+I23+'Financiación corto'!H19-'Financiación corto'!H24</f>
        <v>0</v>
      </c>
      <c r="K23" s="68">
        <f>+J23+'Financiación corto'!I19-'Financiación corto'!I24</f>
        <v>0</v>
      </c>
      <c r="L23" s="68">
        <f>+K23+'Financiación corto'!J19-'Financiación corto'!J24</f>
        <v>0</v>
      </c>
      <c r="M23" s="68">
        <f>+L23+'Financiación corto'!K19-'Financiación corto'!K24</f>
        <v>0</v>
      </c>
      <c r="N23" s="68">
        <f>+M23+'Financiación corto'!L19-'Financiación corto'!L24</f>
        <v>0</v>
      </c>
      <c r="O23" s="64">
        <f>+N23+'Financiación corto'!M19-'Financiación corto'!M24</f>
        <v>0</v>
      </c>
    </row>
    <row r="24" spans="2:15">
      <c r="B24" s="56" t="str">
        <f>+'Datos Historicos'!E12</f>
        <v>PROVEEDORES</v>
      </c>
      <c r="C24" s="68">
        <f>+'Datos Historicos'!F12</f>
        <v>287</v>
      </c>
      <c r="D24" s="68">
        <f>C24+'P y G'!B28*(1+'Datos Previsiones'!$C$41)-Tesorería!B13</f>
        <v>2398.7151971326166</v>
      </c>
      <c r="E24" s="68">
        <f>D24+'P y G'!C28*(1+'Datos Previsiones'!$C$41)-Tesorería!C13</f>
        <v>1193.7813620071684</v>
      </c>
      <c r="F24" s="68">
        <f>E24+'P y G'!D28*(1+'Datos Previsiones'!$C$41)-Tesorería!D13</f>
        <v>1106.7813620071684</v>
      </c>
      <c r="G24" s="68">
        <f>F24+'P y G'!E28*(1+'Datos Previsiones'!$C$41)-Tesorería!E13</f>
        <v>1106.7813620071684</v>
      </c>
      <c r="H24" s="68">
        <f>G24+'P y G'!F28*(1+'Datos Previsiones'!$C$41)-Tesorería!F13</f>
        <v>1106.7813620071684</v>
      </c>
      <c r="I24" s="68">
        <f>H24+'P y G'!G28*(1+'Datos Previsiones'!$C$41)-Tesorería!G13</f>
        <v>1106.7813620071684</v>
      </c>
      <c r="J24" s="68">
        <f>I24+'P y G'!H28*(1+'Datos Previsiones'!$C$41)-Tesorería!H13</f>
        <v>1106.7813620071684</v>
      </c>
      <c r="K24" s="68">
        <f>J24+'P y G'!I28*(1+'Datos Previsiones'!$C$41)-Tesorería!I13</f>
        <v>1106.7813620071684</v>
      </c>
      <c r="L24" s="68">
        <f>K24+'P y G'!J28*(1+'Datos Previsiones'!$C$41)-Tesorería!J13</f>
        <v>1106.7813620071684</v>
      </c>
      <c r="M24" s="68">
        <f>L24+'P y G'!K28*(1+'Datos Previsiones'!$C$41)-Tesorería!K13</f>
        <v>1106.7813620071684</v>
      </c>
      <c r="N24" s="68">
        <f>M24+'P y G'!L28*(1+'Datos Previsiones'!$C$41)-Tesorería!L13</f>
        <v>1106.7813620071684</v>
      </c>
      <c r="O24" s="64">
        <f>N24+'P y G'!M28*(1+'Datos Previsiones'!$C$41)-Tesorería!M13</f>
        <v>1106.7813620071684</v>
      </c>
    </row>
    <row r="25" spans="2:15">
      <c r="B25" s="56" t="str">
        <f>+'Datos Historicos'!E13</f>
        <v>HAC. PUB. ACR.: IVA</v>
      </c>
      <c r="C25" s="68">
        <f>+'Datos Historicos'!F13</f>
        <v>118</v>
      </c>
      <c r="D25" s="68">
        <f>+IF(IVA!C8&gt;0,IVA!C8,0)</f>
        <v>0</v>
      </c>
      <c r="E25" s="68">
        <f>+IF(IVA!D8&gt;0,IVA!D8,0)</f>
        <v>3.2604344086020802</v>
      </c>
      <c r="F25" s="68">
        <f>+IF(IVA!E8&gt;0,IVA!E8,0)</f>
        <v>0</v>
      </c>
      <c r="G25" s="68">
        <f>+IF(IVA!F8&gt;0,IVA!F8,0)</f>
        <v>0</v>
      </c>
      <c r="H25" s="68">
        <f>+IF(IVA!G8&gt;0,IVA!G8,0)</f>
        <v>0</v>
      </c>
      <c r="I25" s="68">
        <f>+IF(IVA!H8&gt;0,IVA!H8,0)</f>
        <v>88.812055913978284</v>
      </c>
      <c r="J25" s="68">
        <f>+IF(IVA!I8&gt;0,IVA!I8,0)</f>
        <v>97.512905376344051</v>
      </c>
      <c r="K25" s="68">
        <f>+IF(IVA!J8&gt;0,IVA!J8,0)</f>
        <v>195.0258107526881</v>
      </c>
      <c r="L25" s="68">
        <f>+IF(IVA!K8&gt;0,IVA!K8,0)</f>
        <v>292.53871612903214</v>
      </c>
      <c r="M25" s="68">
        <f>+IF(IVA!L8&gt;0,IVA!L8,0)</f>
        <v>97.512905376344065</v>
      </c>
      <c r="N25" s="68">
        <f>+IF(IVA!M8&gt;0,IVA!M8,0)</f>
        <v>195.02581075268813</v>
      </c>
      <c r="O25" s="68">
        <f>+IF(IVA!N8&gt;0,IVA!N8,0)</f>
        <v>292.5387161290322</v>
      </c>
    </row>
    <row r="26" spans="2:15">
      <c r="B26" s="56" t="str">
        <f>+'Datos Historicos'!E14</f>
        <v>HAC. PUB. ACR.: TRIBUTOS</v>
      </c>
      <c r="C26" s="68">
        <f>+'Datos Historicos'!F14</f>
        <v>69</v>
      </c>
      <c r="D26" s="68">
        <f>+C26+'P y G'!B13-Tesorería!B18</f>
        <v>17.607885304659504</v>
      </c>
      <c r="E26" s="68">
        <f>+D26+'P y G'!C13-Tesorería!C18</f>
        <v>35.215770609319001</v>
      </c>
      <c r="F26" s="68">
        <f>+E26+'P y G'!D13-Tesorería!D18</f>
        <v>52.823655913978499</v>
      </c>
      <c r="G26" s="68">
        <f>+F26+'P y G'!E13-Tesorería!E18</f>
        <v>70.431541218637989</v>
      </c>
      <c r="H26" s="68">
        <f>+G26+'P y G'!F13-Tesorería!F18</f>
        <v>88.039426523297493</v>
      </c>
      <c r="I26" s="68">
        <f>+H26+'P y G'!G13-Tesorería!G18</f>
        <v>0</v>
      </c>
      <c r="J26" s="68">
        <f>+I26+'P y G'!H13-Tesorería!H18</f>
        <v>17.607885304659497</v>
      </c>
      <c r="K26" s="68">
        <f>+J26+'P y G'!I13-Tesorería!I18</f>
        <v>35.215770609318994</v>
      </c>
      <c r="L26" s="68">
        <f>+K26+'P y G'!J13-Tesorería!J18</f>
        <v>52.823655913978492</v>
      </c>
      <c r="M26" s="68">
        <f>+L26+'P y G'!K13-Tesorería!K18</f>
        <v>70.431541218637989</v>
      </c>
      <c r="N26" s="68">
        <f>+M26+'P y G'!L13-Tesorería!L18</f>
        <v>88.039426523297493</v>
      </c>
      <c r="O26" s="64">
        <f>+N26+'P y G'!M13-Tesorería!M18</f>
        <v>105.647311827957</v>
      </c>
    </row>
    <row r="27" spans="2:15">
      <c r="B27" s="56" t="str">
        <f>+'Datos Historicos'!E15</f>
        <v>HAC. PUB. ACR.:  IMPTO S/ SDES</v>
      </c>
      <c r="C27" s="68">
        <f>+'Datos Historicos'!F15</f>
        <v>20</v>
      </c>
      <c r="D27" s="68">
        <f>+C27-'Datos Previsiones'!C11+'P y G'!B25</f>
        <v>20</v>
      </c>
      <c r="E27" s="68">
        <f>+D27-'Datos Previsiones'!D11+'P y G'!C25</f>
        <v>20</v>
      </c>
      <c r="F27" s="68">
        <f>+E27-'Datos Previsiones'!E11+'P y G'!D25</f>
        <v>20</v>
      </c>
      <c r="G27" s="68">
        <f>+F27-'Datos Previsiones'!F11+'P y G'!E25</f>
        <v>20</v>
      </c>
      <c r="H27" s="68">
        <f>+G27-'Datos Previsiones'!G11+'P y G'!F25</f>
        <v>20</v>
      </c>
      <c r="I27" s="68">
        <f>+H27-'Datos Previsiones'!H11+'P y G'!G25</f>
        <v>0</v>
      </c>
      <c r="J27" s="68">
        <f>+I27-'Datos Previsiones'!I11+'P y G'!H25</f>
        <v>0</v>
      </c>
      <c r="K27" s="68">
        <f>+J27-'Datos Previsiones'!J11+'P y G'!I25</f>
        <v>0</v>
      </c>
      <c r="L27" s="68">
        <f>+K27-'Datos Previsiones'!K11+'P y G'!J25</f>
        <v>0</v>
      </c>
      <c r="M27" s="68">
        <f>+L27-'Datos Previsiones'!L11+'P y G'!K25</f>
        <v>0</v>
      </c>
      <c r="N27" s="68">
        <f>+M27-'Datos Previsiones'!M11+'P y G'!L25</f>
        <v>0</v>
      </c>
      <c r="O27" s="64">
        <f>+N27-'Datos Previsiones'!N11+'P y G'!M25</f>
        <v>0</v>
      </c>
    </row>
    <row r="28" spans="2:15">
      <c r="B28" s="56" t="str">
        <f>+'Datos Historicos'!E16</f>
        <v>GASTOS DE PÈRSONAL</v>
      </c>
      <c r="C28" s="68">
        <f>+'Datos Historicos'!F16</f>
        <v>0</v>
      </c>
      <c r="D28" s="68">
        <f>+'Gtos de personal'!B5+'Gtos de personal'!B6-'Gtos de personal'!B9-'Gtos de personal'!B11-'Gtos de personal'!B14</f>
        <v>315.67692307692306</v>
      </c>
      <c r="E28" s="68">
        <f>+D28+'Gtos de personal'!C5+'Gtos de personal'!C6-'Gtos de personal'!C9-'Gtos de personal'!C11-'Gtos de personal'!C14</f>
        <v>338.75384615384598</v>
      </c>
      <c r="F28" s="68">
        <f>+E28+'Gtos de personal'!D5+'Gtos de personal'!D6-'Gtos de personal'!D9-'Gtos de personal'!D11-'Gtos de personal'!D14</f>
        <v>361.83076923076908</v>
      </c>
      <c r="G28" s="68">
        <f>+F28+'Gtos de personal'!E5+'Gtos de personal'!E6-'Gtos de personal'!E9-'Gtos de personal'!E11-'Gtos de personal'!E14</f>
        <v>384.90769230769217</v>
      </c>
      <c r="H28" s="68">
        <f>+G28+'Gtos de personal'!F5+'Gtos de personal'!F6-'Gtos de personal'!F9-'Gtos de personal'!F11-'Gtos de personal'!F14</f>
        <v>407.98461538461527</v>
      </c>
      <c r="I28" s="68">
        <f>+H28+'Gtos de personal'!G5+'Gtos de personal'!G6-'Gtos de personal'!G9-'Gtos de personal'!G11-'Gtos de personal'!G14</f>
        <v>154.1384615384614</v>
      </c>
      <c r="J28" s="68">
        <f>+I28+'Gtos de personal'!H5+'Gtos de personal'!H6-'Gtos de personal'!H9-'Gtos de personal'!H11-'Gtos de personal'!H14</f>
        <v>177.21538461538449</v>
      </c>
      <c r="K28" s="68">
        <f>+J28+'Gtos de personal'!I5+'Gtos de personal'!I6-'Gtos de personal'!I9-'Gtos de personal'!I11-'Gtos de personal'!I14</f>
        <v>200.29230769230759</v>
      </c>
      <c r="L28" s="68">
        <f>+K28+'Gtos de personal'!J5+'Gtos de personal'!J6-'Gtos de personal'!J9-'Gtos de personal'!J11-'Gtos de personal'!J14</f>
        <v>223.36923076923074</v>
      </c>
      <c r="M28" s="68">
        <f>+L28+'Gtos de personal'!K5+'Gtos de personal'!K6-'Gtos de personal'!K9-'Gtos de personal'!K11-'Gtos de personal'!K14</f>
        <v>246.44615384615383</v>
      </c>
      <c r="N28" s="68">
        <f>+M28+'Gtos de personal'!L5+'Gtos de personal'!L6-'Gtos de personal'!L9-'Gtos de personal'!L11-'Gtos de personal'!L14</f>
        <v>269.52307692307693</v>
      </c>
      <c r="O28" s="68">
        <f>+N28+'Gtos de personal'!M5+'Gtos de personal'!M6-'Gtos de personal'!M9-'Gtos de personal'!M11-'Gtos de personal'!M14</f>
        <v>292.60000000000002</v>
      </c>
    </row>
    <row r="29" spans="2:15">
      <c r="B29" s="56" t="str">
        <f>+'Datos Historicos'!E17</f>
        <v>ACREEDORES</v>
      </c>
      <c r="C29" s="68">
        <f>+'Datos Historicos'!F17</f>
        <v>49</v>
      </c>
      <c r="D29" s="68">
        <f>+C29+'P y G'!B10*(1+'Datos Previsiones'!$C$41)-Tesorería!B15</f>
        <v>65.221935483870965</v>
      </c>
      <c r="E29" s="68">
        <f>+D29+'P y G'!C10*(1+'Datos Previsiones'!$C$41)-Tesorería!C15</f>
        <v>86.44387096774193</v>
      </c>
      <c r="F29" s="68">
        <f>+E29+'P y G'!D10*(1+'Datos Previsiones'!$C$41)-Tesorería!D15</f>
        <v>108.66580645161289</v>
      </c>
      <c r="G29" s="68">
        <f>+F29+'P y G'!E10*(1+'Datos Previsiones'!$C$41)-Tesorería!E15</f>
        <v>108.66580645161289</v>
      </c>
      <c r="H29" s="68">
        <f>+G29+'P y G'!F10*(1+'Datos Previsiones'!$C$41)-Tesorería!F15</f>
        <v>108.66580645161289</v>
      </c>
      <c r="I29" s="68">
        <f>+H29+'P y G'!G10*(1+'Datos Previsiones'!$C$41)-Tesorería!G15</f>
        <v>108.66580645161289</v>
      </c>
      <c r="J29" s="68">
        <f>+I29+'P y G'!H10*(1+'Datos Previsiones'!$C$41)-Tesorería!H15</f>
        <v>108.66580645161289</v>
      </c>
      <c r="K29" s="68">
        <f>+J29+'P y G'!I10*(1+'Datos Previsiones'!$C$41)-Tesorería!I15</f>
        <v>108.66580645161289</v>
      </c>
      <c r="L29" s="68">
        <f>+K29+'P y G'!J10*(1+'Datos Previsiones'!$C$41)-Tesorería!J15</f>
        <v>108.66580645161289</v>
      </c>
      <c r="M29" s="68">
        <f>+L29+'P y G'!K10*(1+'Datos Previsiones'!$C$41)-Tesorería!K15</f>
        <v>108.66580645161289</v>
      </c>
      <c r="N29" s="68">
        <f>+M29+'P y G'!L10*(1+'Datos Previsiones'!$C$41)-Tesorería!L15</f>
        <v>108.66580645161289</v>
      </c>
      <c r="O29" s="64">
        <f>+N29+'P y G'!M10*(1+'Datos Previsiones'!$C$41)-Tesorería!M15</f>
        <v>108.66580645161289</v>
      </c>
    </row>
    <row r="30" spans="2:15">
      <c r="B30" s="50" t="str">
        <f>+'Datos Historicos'!E18</f>
        <v>PROV POR INMOVILIZADO</v>
      </c>
      <c r="C30" s="68">
        <f>+'Datos Historicos'!F18</f>
        <v>0</v>
      </c>
      <c r="D30" s="68">
        <f>+C30+('Datos Previsiones'!C5-'Datos Previsiones'!C6)*(1+'Datos Previsiones'!$C$41)</f>
        <v>0</v>
      </c>
      <c r="E30" s="68">
        <f>+D30+('Datos Previsiones'!D5-'Datos Previsiones'!D6)*(1+'Datos Previsiones'!$C$41)</f>
        <v>0</v>
      </c>
      <c r="F30" s="68">
        <f>+E30+('Datos Previsiones'!E5-'Datos Previsiones'!E6)*(1+'Datos Previsiones'!$C$41)</f>
        <v>0</v>
      </c>
      <c r="G30" s="68">
        <f>+F30+('Datos Previsiones'!F5-'Datos Previsiones'!F6)*(1+'Datos Previsiones'!$C$41)</f>
        <v>0</v>
      </c>
      <c r="H30" s="68">
        <f>+G30+('Datos Previsiones'!G5-'Datos Previsiones'!G6)*(1+'Datos Previsiones'!$C$41)</f>
        <v>0</v>
      </c>
      <c r="I30" s="68">
        <f>+H30+('Datos Previsiones'!H5-'Datos Previsiones'!H6)*(1+'Datos Previsiones'!$C$41)</f>
        <v>0</v>
      </c>
      <c r="J30" s="68">
        <f>+I30+('Datos Previsiones'!I5-'Datos Previsiones'!I6)*(1+'Datos Previsiones'!$C$41)</f>
        <v>0</v>
      </c>
      <c r="K30" s="68">
        <f>+J30+('Datos Previsiones'!J5-'Datos Previsiones'!J6)*(1+'Datos Previsiones'!$C$41)</f>
        <v>0</v>
      </c>
      <c r="L30" s="68">
        <f>+K30+('Datos Previsiones'!K5-'Datos Previsiones'!K6)*(1+'Datos Previsiones'!$C$41)</f>
        <v>0</v>
      </c>
      <c r="M30" s="68">
        <f>+L30+('Datos Previsiones'!L5-'Datos Previsiones'!L6)*(1+'Datos Previsiones'!$C$41)</f>
        <v>0</v>
      </c>
      <c r="N30" s="68">
        <f>+M30+('Datos Previsiones'!M5-'Datos Previsiones'!M6)*(1+'Datos Previsiones'!$C$41)</f>
        <v>0</v>
      </c>
      <c r="O30" s="64">
        <f>+N30+('Datos Previsiones'!N5-'Datos Previsiones'!N6)*(1+'Datos Previsiones'!$C$41)</f>
        <v>0</v>
      </c>
    </row>
    <row r="31" spans="2:15" ht="13.5" thickBot="1">
      <c r="B31" s="52" t="str">
        <f>+'Datos Historicos'!E19</f>
        <v>APLAZAMIENTO EN PAGO</v>
      </c>
      <c r="C31" s="70">
        <f>+'Datos Historicos'!F19</f>
        <v>100</v>
      </c>
      <c r="D31" s="70">
        <f>++C31+'Datos Previsiones'!C24-'Datos Previsiones'!C25</f>
        <v>100</v>
      </c>
      <c r="E31" s="70">
        <f>++D31+'Datos Previsiones'!D24-'Datos Previsiones'!D25</f>
        <v>100</v>
      </c>
      <c r="F31" s="70">
        <f>++E31+'Datos Previsiones'!E24-'Datos Previsiones'!E25</f>
        <v>100</v>
      </c>
      <c r="G31" s="70">
        <f>++F31+'Datos Previsiones'!F24-'Datos Previsiones'!F25</f>
        <v>100</v>
      </c>
      <c r="H31" s="70">
        <f>++G31+'Datos Previsiones'!G24-'Datos Previsiones'!G25</f>
        <v>100</v>
      </c>
      <c r="I31" s="70">
        <f>++H31+'Datos Previsiones'!H24-'Datos Previsiones'!H25</f>
        <v>75</v>
      </c>
      <c r="J31" s="70">
        <f>++I31+'Datos Previsiones'!I24-'Datos Previsiones'!I25</f>
        <v>75</v>
      </c>
      <c r="K31" s="70">
        <f>++J31+'Datos Previsiones'!J24-'Datos Previsiones'!J25</f>
        <v>75</v>
      </c>
      <c r="L31" s="70">
        <f>++K31+'Datos Previsiones'!K24-'Datos Previsiones'!K25</f>
        <v>75</v>
      </c>
      <c r="M31" s="70">
        <f>++L31+'Datos Previsiones'!L24-'Datos Previsiones'!L25</f>
        <v>75</v>
      </c>
      <c r="N31" s="70">
        <f>++M31+'Datos Previsiones'!M24-'Datos Previsiones'!M25</f>
        <v>75</v>
      </c>
      <c r="O31" s="194">
        <f>++N31+'Datos Previsiones'!N24-'Datos Previsiones'!N25</f>
        <v>75</v>
      </c>
    </row>
    <row r="32" spans="2:15" ht="13.5" thickBot="1">
      <c r="B32" s="57" t="str">
        <f>+'Datos Historicos'!E20</f>
        <v xml:space="preserve">TOTAL </v>
      </c>
      <c r="C32" s="72">
        <f>SUM(C16:C31)</f>
        <v>7074</v>
      </c>
      <c r="D32" s="72">
        <f>SUM(D16:D31)</f>
        <v>9216.4347736458003</v>
      </c>
      <c r="E32" s="72">
        <f>SUM(E16:E31)</f>
        <v>7944.8809494421384</v>
      </c>
      <c r="F32" s="72">
        <f>SUM(F16:F31)</f>
        <v>8785.7400915467188</v>
      </c>
      <c r="G32" s="72">
        <f>SUM(G16:G31)</f>
        <v>8694.6377325760313</v>
      </c>
      <c r="H32" s="72">
        <f>SUM(H16:H31)</f>
        <v>8603.5353736053439</v>
      </c>
      <c r="I32" s="72">
        <f>SUM(I16:I31)</f>
        <v>8963.6746817976018</v>
      </c>
      <c r="J32" s="72">
        <f>SUM(J16:J31)</f>
        <v>8881.2731722892822</v>
      </c>
      <c r="K32" s="72">
        <f>SUM(K16:K31)</f>
        <v>8887.683718694936</v>
      </c>
      <c r="L32" s="72">
        <f>SUM(L16:L31)</f>
        <v>8894.0942651005935</v>
      </c>
      <c r="M32" s="72">
        <f>SUM(M16:M31)</f>
        <v>8607.9660953772182</v>
      </c>
      <c r="N32" s="72">
        <f>SUM(N16:N31)</f>
        <v>8614.3766417828738</v>
      </c>
      <c r="O32" s="196">
        <f>SUM(O16:O31)</f>
        <v>8620.787188188533</v>
      </c>
    </row>
    <row r="33" spans="4:15" s="331" customFormat="1">
      <c r="D33" s="331">
        <f>+D13-D32</f>
        <v>0</v>
      </c>
      <c r="E33" s="331">
        <f>+E13-E32</f>
        <v>0</v>
      </c>
      <c r="F33" s="331">
        <f>+F13-F32</f>
        <v>0</v>
      </c>
      <c r="G33" s="331">
        <f>+G13-G32</f>
        <v>0</v>
      </c>
      <c r="H33" s="331">
        <f>+H13-H32</f>
        <v>0</v>
      </c>
      <c r="I33" s="331">
        <f>+I13-I32</f>
        <v>0</v>
      </c>
      <c r="J33" s="331">
        <f>+J13-J32</f>
        <v>0</v>
      </c>
      <c r="K33" s="331">
        <f>+K13-K32</f>
        <v>0</v>
      </c>
      <c r="L33" s="331">
        <f>+L13-L32</f>
        <v>0</v>
      </c>
      <c r="M33" s="331">
        <f>+M13-M32</f>
        <v>0</v>
      </c>
      <c r="N33" s="331">
        <f>+N13-N32</f>
        <v>0</v>
      </c>
      <c r="O33" s="331">
        <f>+O13-O32</f>
        <v>0</v>
      </c>
    </row>
    <row r="34" spans="4:15">
      <c r="F34" s="71"/>
    </row>
  </sheetData>
  <phoneticPr fontId="1"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P46"/>
  <sheetViews>
    <sheetView showGridLines="0" topLeftCell="A35" workbookViewId="0">
      <selection activeCell="C4" sqref="C4"/>
    </sheetView>
  </sheetViews>
  <sheetFormatPr baseColWidth="10" defaultRowHeight="12.75"/>
  <cols>
    <col min="1" max="1" width="28.5703125" customWidth="1"/>
  </cols>
  <sheetData>
    <row r="1" spans="1:16" ht="13.5" thickBot="1"/>
    <row r="2" spans="1:16">
      <c r="A2" s="74"/>
      <c r="B2" s="75" t="s">
        <v>137</v>
      </c>
      <c r="C2" s="76" t="s">
        <v>138</v>
      </c>
      <c r="D2" s="76" t="s">
        <v>139</v>
      </c>
      <c r="E2" s="76" t="s">
        <v>140</v>
      </c>
      <c r="F2" s="76" t="s">
        <v>141</v>
      </c>
      <c r="G2" s="76" t="s">
        <v>142</v>
      </c>
      <c r="H2" s="76" t="s">
        <v>143</v>
      </c>
      <c r="I2" s="76" t="s">
        <v>144</v>
      </c>
      <c r="J2" s="76" t="s">
        <v>145</v>
      </c>
      <c r="K2" s="76" t="s">
        <v>146</v>
      </c>
      <c r="L2" s="76" t="s">
        <v>147</v>
      </c>
      <c r="M2" s="77" t="s">
        <v>148</v>
      </c>
    </row>
    <row r="3" spans="1:16" ht="13.5" thickBot="1">
      <c r="A3" s="78" t="s">
        <v>152</v>
      </c>
      <c r="B3" s="79"/>
      <c r="C3" s="80"/>
      <c r="D3" s="80"/>
      <c r="E3" s="80"/>
      <c r="F3" s="80"/>
      <c r="G3" s="80"/>
      <c r="H3" s="80"/>
      <c r="I3" s="80"/>
      <c r="J3" s="80"/>
      <c r="K3" s="80"/>
      <c r="L3" s="80"/>
      <c r="M3" s="81"/>
      <c r="O3" s="332" t="s">
        <v>215</v>
      </c>
      <c r="P3" s="332"/>
    </row>
    <row r="4" spans="1:16" ht="13.5" thickBot="1">
      <c r="A4" s="78" t="s">
        <v>153</v>
      </c>
      <c r="B4" s="79"/>
      <c r="C4" s="80"/>
      <c r="D4" s="80"/>
      <c r="E4" s="80"/>
      <c r="F4" s="80"/>
      <c r="G4" s="80"/>
      <c r="H4" s="80"/>
      <c r="I4" s="80"/>
      <c r="J4" s="80"/>
      <c r="K4" s="80"/>
      <c r="L4" s="80"/>
      <c r="M4" s="81"/>
      <c r="O4" s="22" t="s">
        <v>211</v>
      </c>
      <c r="P4" s="121">
        <v>0.03</v>
      </c>
    </row>
    <row r="5" spans="1:16" ht="13.5" thickBot="1">
      <c r="A5" s="78" t="s">
        <v>154</v>
      </c>
      <c r="B5" s="79"/>
      <c r="C5" s="80"/>
      <c r="D5" s="80"/>
      <c r="E5" s="80"/>
      <c r="F5" s="80"/>
      <c r="G5" s="80"/>
      <c r="H5" s="80"/>
      <c r="I5" s="80"/>
      <c r="J5" s="80"/>
      <c r="K5" s="80"/>
      <c r="L5" s="80"/>
      <c r="M5" s="81"/>
      <c r="O5" s="99" t="s">
        <v>212</v>
      </c>
      <c r="P5" s="123">
        <v>19000</v>
      </c>
    </row>
    <row r="6" spans="1:16">
      <c r="A6" s="176"/>
      <c r="B6" s="176"/>
      <c r="C6" s="176"/>
      <c r="D6" s="176"/>
      <c r="E6" s="176"/>
      <c r="F6" s="176"/>
      <c r="G6" s="176"/>
      <c r="H6" s="176"/>
      <c r="I6" s="176"/>
      <c r="J6" s="176"/>
      <c r="K6" s="176"/>
      <c r="L6" s="176"/>
      <c r="M6" s="176"/>
    </row>
    <row r="7" spans="1:16" s="176" customFormat="1" ht="13.5" thickBot="1">
      <c r="A7" s="197" t="str">
        <f>+'P y G'!A3</f>
        <v>VENTAS</v>
      </c>
      <c r="B7" s="197">
        <f>+'P y G'!B3</f>
        <v>1450</v>
      </c>
      <c r="C7" s="197">
        <f>+'P y G'!C3</f>
        <v>1450</v>
      </c>
      <c r="D7" s="197">
        <f>+'P y G'!D3</f>
        <v>1450</v>
      </c>
      <c r="E7" s="197">
        <f>+'P y G'!E3</f>
        <v>1450</v>
      </c>
      <c r="F7" s="197">
        <f>+'P y G'!F3</f>
        <v>1450</v>
      </c>
      <c r="G7" s="197">
        <f>+'P y G'!G3</f>
        <v>1450</v>
      </c>
      <c r="H7" s="197">
        <f>+'P y G'!H3</f>
        <v>1450</v>
      </c>
      <c r="I7" s="197">
        <f>+'P y G'!I3</f>
        <v>1450</v>
      </c>
      <c r="J7" s="197">
        <f>+'P y G'!J3</f>
        <v>1450</v>
      </c>
      <c r="K7" s="197">
        <f>+'P y G'!K3</f>
        <v>1450</v>
      </c>
      <c r="L7" s="197">
        <f>+'P y G'!L3</f>
        <v>1450</v>
      </c>
      <c r="M7" s="197">
        <f>+'P y G'!M3</f>
        <v>1450</v>
      </c>
      <c r="O7" s="333" t="s">
        <v>216</v>
      </c>
      <c r="P7" s="333"/>
    </row>
    <row r="8" spans="1:16" s="176" customFormat="1" ht="13.5" thickBot="1">
      <c r="O8" s="122" t="s">
        <v>176</v>
      </c>
      <c r="P8" s="149">
        <v>0</v>
      </c>
    </row>
    <row r="9" spans="1:16" s="176" customFormat="1">
      <c r="A9" s="162"/>
      <c r="B9" s="163" t="s">
        <v>137</v>
      </c>
      <c r="C9" s="163" t="s">
        <v>138</v>
      </c>
      <c r="D9" s="163" t="s">
        <v>139</v>
      </c>
      <c r="E9" s="163" t="s">
        <v>140</v>
      </c>
      <c r="F9" s="163" t="s">
        <v>141</v>
      </c>
      <c r="G9" s="163" t="s">
        <v>142</v>
      </c>
      <c r="H9" s="163" t="s">
        <v>143</v>
      </c>
      <c r="I9" s="163" t="s">
        <v>144</v>
      </c>
      <c r="J9" s="163" t="s">
        <v>145</v>
      </c>
      <c r="K9" s="163" t="s">
        <v>146</v>
      </c>
      <c r="L9" s="163" t="s">
        <v>147</v>
      </c>
      <c r="M9" s="164" t="s">
        <v>148</v>
      </c>
      <c r="O9" s="124" t="s">
        <v>213</v>
      </c>
      <c r="P9" s="125">
        <v>0.04</v>
      </c>
    </row>
    <row r="10" spans="1:16" s="176" customFormat="1" ht="13.5" thickBot="1">
      <c r="A10" s="165" t="s">
        <v>159</v>
      </c>
      <c r="B10" s="82">
        <v>0</v>
      </c>
      <c r="C10" s="82">
        <v>0</v>
      </c>
      <c r="D10" s="82">
        <v>0</v>
      </c>
      <c r="E10" s="82">
        <f>+(B7*'Datos Previsiones'!$G43)*(1+'Datos Previsiones'!$C$41)</f>
        <v>0</v>
      </c>
      <c r="F10" s="82">
        <f>+(C7*'Datos Previsiones'!$G43)*(1+'Datos Previsiones'!$C$41)</f>
        <v>0</v>
      </c>
      <c r="G10" s="82">
        <f>+(D7*'Datos Previsiones'!$G43)*(1+'Datos Previsiones'!$C$41)</f>
        <v>0</v>
      </c>
      <c r="H10" s="82">
        <f>+(E7*'Datos Previsiones'!$G43)*(1+'Datos Previsiones'!$C$41)</f>
        <v>0</v>
      </c>
      <c r="I10" s="82">
        <f>+(F7*'Datos Previsiones'!$G43)*(1+'Datos Previsiones'!$C$41)</f>
        <v>0</v>
      </c>
      <c r="J10" s="82">
        <f>+(G7*'Datos Previsiones'!$G43)*(1+'Datos Previsiones'!$C$41)</f>
        <v>0</v>
      </c>
      <c r="K10" s="82">
        <f>+(H7*'Datos Previsiones'!$G43)*(1+'Datos Previsiones'!$C$41)</f>
        <v>0</v>
      </c>
      <c r="L10" s="82">
        <f>+(I7*'Datos Previsiones'!$G43)*(1+'Datos Previsiones'!$C$41)</f>
        <v>0</v>
      </c>
      <c r="M10" s="82">
        <f>+(J7*'Datos Previsiones'!$G43)*(1+'Datos Previsiones'!$C$41)</f>
        <v>0</v>
      </c>
      <c r="O10" s="126" t="s">
        <v>214</v>
      </c>
      <c r="P10" s="127">
        <v>1.5E-3</v>
      </c>
    </row>
    <row r="11" spans="1:16" s="176" customFormat="1">
      <c r="A11" s="165" t="s">
        <v>160</v>
      </c>
      <c r="B11" s="82">
        <v>0</v>
      </c>
      <c r="C11" s="82">
        <v>0</v>
      </c>
      <c r="D11" s="82">
        <f>+(B7*'Datos Previsiones'!$G42)*(1+'Datos Previsiones'!$C$41)</f>
        <v>877.25</v>
      </c>
      <c r="E11" s="82">
        <f>+(C7*'Datos Previsiones'!$G42)*(1+'Datos Previsiones'!$C$41)</f>
        <v>877.25</v>
      </c>
      <c r="F11" s="82">
        <f>+(D7*'Datos Previsiones'!$G42)*(1+'Datos Previsiones'!$C$41)</f>
        <v>877.25</v>
      </c>
      <c r="G11" s="82">
        <f>+(E7*'Datos Previsiones'!$G42)*(1+'Datos Previsiones'!$C$41)</f>
        <v>877.25</v>
      </c>
      <c r="H11" s="82">
        <f>+(F7*'Datos Previsiones'!$G42)*(1+'Datos Previsiones'!$C$41)</f>
        <v>877.25</v>
      </c>
      <c r="I11" s="82">
        <f>+(G7*'Datos Previsiones'!$G42)*(1+'Datos Previsiones'!$C$41)</f>
        <v>877.25</v>
      </c>
      <c r="J11" s="82">
        <f>+(H7*'Datos Previsiones'!$G42)*(1+'Datos Previsiones'!$C$41)</f>
        <v>877.25</v>
      </c>
      <c r="K11" s="82">
        <f>+(I7*'Datos Previsiones'!$G42)*(1+'Datos Previsiones'!$C$41)</f>
        <v>877.25</v>
      </c>
      <c r="L11" s="82">
        <f>+(J7*'Datos Previsiones'!$G42)*(1+'Datos Previsiones'!$C$41)</f>
        <v>877.25</v>
      </c>
      <c r="M11" s="82">
        <f>+(K7*'Datos Previsiones'!$G42)*(1+'Datos Previsiones'!$C$41)</f>
        <v>877.25</v>
      </c>
    </row>
    <row r="12" spans="1:16" s="176" customFormat="1" ht="13.5" thickBot="1">
      <c r="A12" s="165" t="s">
        <v>162</v>
      </c>
      <c r="B12" s="82">
        <v>0</v>
      </c>
      <c r="C12" s="82">
        <f>+(B7*'Datos Previsiones'!$G41)*(1+'Datos Previsiones'!$C$41)</f>
        <v>877.25</v>
      </c>
      <c r="D12" s="82">
        <f>+(C7*'Datos Previsiones'!$G41)*(1+'Datos Previsiones'!$C$41)</f>
        <v>877.25</v>
      </c>
      <c r="E12" s="82">
        <f>+(D7*'Datos Previsiones'!$G41)*(1+'Datos Previsiones'!$C$41)</f>
        <v>877.25</v>
      </c>
      <c r="F12" s="82">
        <f>+(E7*'Datos Previsiones'!$G41)*(1+'Datos Previsiones'!$C$41)</f>
        <v>877.25</v>
      </c>
      <c r="G12" s="82">
        <f>+(F7*'Datos Previsiones'!$G41)*(1+'Datos Previsiones'!$C$41)</f>
        <v>877.25</v>
      </c>
      <c r="H12" s="82">
        <f>+(G7*'Datos Previsiones'!$G41)*(1+'Datos Previsiones'!$C$41)</f>
        <v>877.25</v>
      </c>
      <c r="I12" s="82">
        <f>+(H7*'Datos Previsiones'!$G41)*(1+'Datos Previsiones'!$C$41)</f>
        <v>877.25</v>
      </c>
      <c r="J12" s="82">
        <f>+(I7*'Datos Previsiones'!$G41)*(1+'Datos Previsiones'!$C$41)</f>
        <v>877.25</v>
      </c>
      <c r="K12" s="82">
        <f>+(J7*'Datos Previsiones'!$G41)*(1+'Datos Previsiones'!$C$41)</f>
        <v>877.25</v>
      </c>
      <c r="L12" s="82">
        <f>+(K7*'Datos Previsiones'!$G41)*(1+'Datos Previsiones'!$C$41)</f>
        <v>877.25</v>
      </c>
      <c r="M12" s="82">
        <f>+(L7*'Datos Previsiones'!$G41)*(1+'Datos Previsiones'!$C$41)</f>
        <v>877.25</v>
      </c>
      <c r="O12" s="333" t="s">
        <v>217</v>
      </c>
      <c r="P12" s="333"/>
    </row>
    <row r="13" spans="1:16" ht="13.5" thickBot="1">
      <c r="A13" s="165" t="s">
        <v>161</v>
      </c>
      <c r="B13" s="82">
        <f>+(B7*'Datos Previsiones'!$G40)*(1+'Datos Previsiones'!$C$41)</f>
        <v>0</v>
      </c>
      <c r="C13" s="82">
        <f>+(C7*'Datos Previsiones'!$G40)*(1+'Datos Previsiones'!$C$41)</f>
        <v>0</v>
      </c>
      <c r="D13" s="82">
        <f>+(D7*'Datos Previsiones'!$G40)*(1+'Datos Previsiones'!$C$41)</f>
        <v>0</v>
      </c>
      <c r="E13" s="82">
        <f>+(E7*'Datos Previsiones'!$G40)*(1+'Datos Previsiones'!$C$41)</f>
        <v>0</v>
      </c>
      <c r="F13" s="82">
        <f>+(F7*'Datos Previsiones'!$G40)*(1+'Datos Previsiones'!$C$41)</f>
        <v>0</v>
      </c>
      <c r="G13" s="82">
        <f>+(G7*'Datos Previsiones'!$G40)*(1+'Datos Previsiones'!$C$41)</f>
        <v>0</v>
      </c>
      <c r="H13" s="82">
        <f>+(H7*'Datos Previsiones'!$G40)*(1+'Datos Previsiones'!$C$41)</f>
        <v>0</v>
      </c>
      <c r="I13" s="82">
        <f>+(I7*'Datos Previsiones'!$G40)*(1+'Datos Previsiones'!$C$41)</f>
        <v>0</v>
      </c>
      <c r="J13" s="82">
        <f>+(J7*'Datos Previsiones'!$G40)*(1+'Datos Previsiones'!$C$41)</f>
        <v>0</v>
      </c>
      <c r="K13" s="82">
        <f>+(K7*'Datos Previsiones'!$G40)*(1+'Datos Previsiones'!$C$41)</f>
        <v>0</v>
      </c>
      <c r="L13" s="82">
        <f>+(L7*'Datos Previsiones'!$G40)*(1+'Datos Previsiones'!$C$41)</f>
        <v>0</v>
      </c>
      <c r="M13" s="82">
        <f>+(M7*'Datos Previsiones'!$G40)*(1+'Datos Previsiones'!$C$41)</f>
        <v>0</v>
      </c>
      <c r="O13" s="96" t="s">
        <v>218</v>
      </c>
      <c r="P13" s="153">
        <v>0.03</v>
      </c>
    </row>
    <row r="14" spans="1:16">
      <c r="A14" s="165" t="s">
        <v>168</v>
      </c>
      <c r="B14" s="82">
        <f>SUM(B10:B13)</f>
        <v>0</v>
      </c>
      <c r="C14" s="82">
        <f t="shared" ref="C14:M14" si="0">SUM(C10:C13)</f>
        <v>877.25</v>
      </c>
      <c r="D14" s="82">
        <f t="shared" si="0"/>
        <v>1754.5</v>
      </c>
      <c r="E14" s="82">
        <f t="shared" si="0"/>
        <v>1754.5</v>
      </c>
      <c r="F14" s="82">
        <f t="shared" si="0"/>
        <v>1754.5</v>
      </c>
      <c r="G14" s="82">
        <f t="shared" si="0"/>
        <v>1754.5</v>
      </c>
      <c r="H14" s="82">
        <f t="shared" si="0"/>
        <v>1754.5</v>
      </c>
      <c r="I14" s="82">
        <f t="shared" si="0"/>
        <v>1754.5</v>
      </c>
      <c r="J14" s="82">
        <f t="shared" si="0"/>
        <v>1754.5</v>
      </c>
      <c r="K14" s="82">
        <f t="shared" si="0"/>
        <v>1754.5</v>
      </c>
      <c r="L14" s="82">
        <f t="shared" si="0"/>
        <v>1754.5</v>
      </c>
      <c r="M14" s="166">
        <f t="shared" si="0"/>
        <v>1754.5</v>
      </c>
    </row>
    <row r="15" spans="1:16" ht="13.5" thickBot="1">
      <c r="A15" s="167"/>
      <c r="B15" s="94"/>
      <c r="C15" s="94"/>
      <c r="D15" s="94"/>
      <c r="E15" s="94"/>
      <c r="F15" s="94"/>
      <c r="G15" s="94"/>
      <c r="H15" s="94"/>
      <c r="I15" s="94"/>
      <c r="J15" s="94"/>
      <c r="K15" s="94"/>
      <c r="L15" s="94"/>
      <c r="M15" s="168"/>
      <c r="O15" s="332" t="s">
        <v>219</v>
      </c>
      <c r="P15" s="332"/>
    </row>
    <row r="16" spans="1:16" ht="13.5" thickBot="1">
      <c r="A16" s="165" t="s">
        <v>149</v>
      </c>
      <c r="B16" s="82">
        <f>+B3*'Datos Previsiones'!C$28*'Datos Previsiones'!$G43*(1+'Datos Previsiones'!$C$41)</f>
        <v>0</v>
      </c>
      <c r="C16" s="82">
        <f>+C3*'Datos Previsiones'!D$28*'Datos Previsiones'!$G43*(1+'Datos Previsiones'!$C$41)</f>
        <v>0</v>
      </c>
      <c r="D16" s="82">
        <f>+D3*'Datos Previsiones'!E$28*'Datos Previsiones'!$G43*(1+'Datos Previsiones'!$C$41)</f>
        <v>0</v>
      </c>
      <c r="E16" s="82">
        <f>+E3*'Datos Previsiones'!F$28*'Datos Previsiones'!$G43*(1+'Datos Previsiones'!$C$41)</f>
        <v>0</v>
      </c>
      <c r="F16" s="82">
        <f>+F3*'Datos Previsiones'!G$28*'Datos Previsiones'!$G43*(1+'Datos Previsiones'!$C$41)</f>
        <v>0</v>
      </c>
      <c r="G16" s="82">
        <f>+G3*'Datos Previsiones'!H$28*'Datos Previsiones'!$G43*(1+'Datos Previsiones'!$C$41)</f>
        <v>0</v>
      </c>
      <c r="H16" s="82">
        <f>+H3*'Datos Previsiones'!I$28*'Datos Previsiones'!$G43*(1+'Datos Previsiones'!$C$41)</f>
        <v>0</v>
      </c>
      <c r="I16" s="82">
        <f>+I3*'Datos Previsiones'!J$28*'Datos Previsiones'!$G43*(1+'Datos Previsiones'!$C$41)</f>
        <v>0</v>
      </c>
      <c r="J16" s="82">
        <f>+J3*'Datos Previsiones'!K$28*'Datos Previsiones'!$G43*(1+'Datos Previsiones'!$C$41)</f>
        <v>0</v>
      </c>
      <c r="K16" s="82">
        <f>+K3*'Datos Previsiones'!L$28*'Datos Previsiones'!$G43*(1+'Datos Previsiones'!$C$41)</f>
        <v>0</v>
      </c>
      <c r="L16" s="82">
        <f>+L3*'Datos Previsiones'!M$28*'Datos Previsiones'!$G43*(1+'Datos Previsiones'!$C$41)</f>
        <v>0</v>
      </c>
      <c r="M16" s="166">
        <f>+M3*'Datos Previsiones'!N$28*'Datos Previsiones'!$G43*(1+'Datos Previsiones'!$C$41)</f>
        <v>0</v>
      </c>
      <c r="O16" s="128" t="s">
        <v>220</v>
      </c>
      <c r="P16" s="129">
        <v>0.02</v>
      </c>
    </row>
    <row r="17" spans="1:13">
      <c r="A17" s="165" t="s">
        <v>150</v>
      </c>
      <c r="B17" s="82">
        <f>+B4*'Datos Previsiones'!C$28*'Datos Previsiones'!$G42*(1+'Datos Previsiones'!$C$41)</f>
        <v>0</v>
      </c>
      <c r="C17" s="82">
        <f>+C4*'Datos Previsiones'!D$28*'Datos Previsiones'!$G42*(1+'Datos Previsiones'!$C$41)</f>
        <v>0</v>
      </c>
      <c r="D17" s="82">
        <f>+D4*'Datos Previsiones'!E$28*'Datos Previsiones'!$G42*(1+'Datos Previsiones'!$C$41)</f>
        <v>0</v>
      </c>
      <c r="E17" s="82">
        <f>+E4*'Datos Previsiones'!F$28*'Datos Previsiones'!$G42*(1+'Datos Previsiones'!$C$41)</f>
        <v>0</v>
      </c>
      <c r="F17" s="82">
        <f>+F4*'Datos Previsiones'!G$28*'Datos Previsiones'!$G42*(1+'Datos Previsiones'!$C$41)</f>
        <v>0</v>
      </c>
      <c r="G17" s="82">
        <f>+G4*'Datos Previsiones'!H$28*'Datos Previsiones'!$G42*(1+'Datos Previsiones'!$C$41)</f>
        <v>0</v>
      </c>
      <c r="H17" s="82">
        <f>+H4*'Datos Previsiones'!I$28*'Datos Previsiones'!$G42*(1+'Datos Previsiones'!$C$41)</f>
        <v>0</v>
      </c>
      <c r="I17" s="82">
        <f>+I4*'Datos Previsiones'!J$28*'Datos Previsiones'!$G42*(1+'Datos Previsiones'!$C$41)</f>
        <v>0</v>
      </c>
      <c r="J17" s="82">
        <f>+J4*'Datos Previsiones'!K$28*'Datos Previsiones'!$G42*(1+'Datos Previsiones'!$C$41)</f>
        <v>0</v>
      </c>
      <c r="K17" s="82">
        <f>+K4*'Datos Previsiones'!L$28*'Datos Previsiones'!$G42*(1+'Datos Previsiones'!$C$41)</f>
        <v>0</v>
      </c>
      <c r="L17" s="82">
        <f>+L4*'Datos Previsiones'!M$28*'Datos Previsiones'!$G42*(1+'Datos Previsiones'!$C$41)</f>
        <v>0</v>
      </c>
      <c r="M17" s="166">
        <f>+M4*'Datos Previsiones'!N$28*'Datos Previsiones'!$G42*(1+'Datos Previsiones'!$C$41)</f>
        <v>0</v>
      </c>
    </row>
    <row r="18" spans="1:13">
      <c r="A18" s="165" t="s">
        <v>151</v>
      </c>
      <c r="B18" s="82">
        <f>+B5*'Datos Previsiones'!C$28*'Datos Previsiones'!$G41*(1+'Datos Previsiones'!$C$41)</f>
        <v>0</v>
      </c>
      <c r="C18" s="82">
        <f>+C5*'Datos Previsiones'!D$28*'Datos Previsiones'!$G41*(1+'Datos Previsiones'!$C$41)</f>
        <v>0</v>
      </c>
      <c r="D18" s="82">
        <f>+D5*'Datos Previsiones'!E$28*'Datos Previsiones'!$G41*(1+'Datos Previsiones'!$C$41)</f>
        <v>0</v>
      </c>
      <c r="E18" s="82">
        <f>+E5*'Datos Previsiones'!F$28*'Datos Previsiones'!$G41*(1+'Datos Previsiones'!$C$41)</f>
        <v>0</v>
      </c>
      <c r="F18" s="82">
        <f>+F5*'Datos Previsiones'!G$28*'Datos Previsiones'!$G41*(1+'Datos Previsiones'!$C$41)</f>
        <v>0</v>
      </c>
      <c r="G18" s="82">
        <f>+G5*'Datos Previsiones'!H$28*'Datos Previsiones'!$G41*(1+'Datos Previsiones'!$C$41)</f>
        <v>0</v>
      </c>
      <c r="H18" s="82">
        <f>+H5*'Datos Previsiones'!I$28*'Datos Previsiones'!$G41*(1+'Datos Previsiones'!$C$41)</f>
        <v>0</v>
      </c>
      <c r="I18" s="82">
        <f>+I5*'Datos Previsiones'!J$28*'Datos Previsiones'!$G41*(1+'Datos Previsiones'!$C$41)</f>
        <v>0</v>
      </c>
      <c r="J18" s="82">
        <f>+J5*'Datos Previsiones'!K$28*'Datos Previsiones'!$G41*(1+'Datos Previsiones'!$C$41)</f>
        <v>0</v>
      </c>
      <c r="K18" s="82">
        <f>+K5*'Datos Previsiones'!L$28*'Datos Previsiones'!$G41*(1+'Datos Previsiones'!$C$41)</f>
        <v>0</v>
      </c>
      <c r="L18" s="82">
        <f>+L5*'Datos Previsiones'!M$28*'Datos Previsiones'!$G41*(1+'Datos Previsiones'!$C$41)</f>
        <v>0</v>
      </c>
      <c r="M18" s="166">
        <f>+M5*'Datos Previsiones'!N$28*'Datos Previsiones'!$G41*(1+'Datos Previsiones'!$C$41)</f>
        <v>0</v>
      </c>
    </row>
    <row r="19" spans="1:13">
      <c r="A19" s="165" t="s">
        <v>166</v>
      </c>
      <c r="B19" s="82">
        <f>+B16+B17+B18</f>
        <v>0</v>
      </c>
      <c r="C19" s="82">
        <f t="shared" ref="C19:M19" si="1">+C16+C17+C18</f>
        <v>0</v>
      </c>
      <c r="D19" s="82">
        <f t="shared" si="1"/>
        <v>0</v>
      </c>
      <c r="E19" s="82">
        <f t="shared" si="1"/>
        <v>0</v>
      </c>
      <c r="F19" s="82">
        <f t="shared" si="1"/>
        <v>0</v>
      </c>
      <c r="G19" s="82">
        <f t="shared" si="1"/>
        <v>0</v>
      </c>
      <c r="H19" s="82">
        <f t="shared" si="1"/>
        <v>0</v>
      </c>
      <c r="I19" s="82">
        <f t="shared" si="1"/>
        <v>0</v>
      </c>
      <c r="J19" s="82">
        <f t="shared" si="1"/>
        <v>0</v>
      </c>
      <c r="K19" s="82">
        <f t="shared" si="1"/>
        <v>0</v>
      </c>
      <c r="L19" s="82">
        <f t="shared" si="1"/>
        <v>0</v>
      </c>
      <c r="M19" s="166">
        <f t="shared" si="1"/>
        <v>0</v>
      </c>
    </row>
    <row r="20" spans="1:13" s="73" customFormat="1">
      <c r="A20" s="167"/>
      <c r="B20" s="94"/>
      <c r="C20" s="94"/>
      <c r="D20" s="94"/>
      <c r="E20" s="94"/>
      <c r="F20" s="94"/>
      <c r="G20" s="94"/>
      <c r="H20" s="94"/>
      <c r="I20" s="94"/>
      <c r="J20" s="94"/>
      <c r="K20" s="94"/>
      <c r="L20" s="94"/>
      <c r="M20" s="168"/>
    </row>
    <row r="21" spans="1:13">
      <c r="A21" s="165" t="s">
        <v>163</v>
      </c>
      <c r="B21" s="82">
        <v>0</v>
      </c>
      <c r="C21" s="82">
        <v>0</v>
      </c>
      <c r="D21" s="82">
        <v>0</v>
      </c>
      <c r="E21" s="82">
        <f>B16</f>
        <v>0</v>
      </c>
      <c r="F21" s="82">
        <f t="shared" ref="F21:M21" si="2">C16</f>
        <v>0</v>
      </c>
      <c r="G21" s="82">
        <f t="shared" si="2"/>
        <v>0</v>
      </c>
      <c r="H21" s="82">
        <f t="shared" si="2"/>
        <v>0</v>
      </c>
      <c r="I21" s="82">
        <f t="shared" si="2"/>
        <v>0</v>
      </c>
      <c r="J21" s="82">
        <f t="shared" si="2"/>
        <v>0</v>
      </c>
      <c r="K21" s="82">
        <f t="shared" si="2"/>
        <v>0</v>
      </c>
      <c r="L21" s="82">
        <f t="shared" si="2"/>
        <v>0</v>
      </c>
      <c r="M21" s="166">
        <f t="shared" si="2"/>
        <v>0</v>
      </c>
    </row>
    <row r="22" spans="1:13">
      <c r="A22" s="165" t="s">
        <v>164</v>
      </c>
      <c r="B22" s="95">
        <v>0</v>
      </c>
      <c r="C22" s="95">
        <v>0</v>
      </c>
      <c r="D22" s="82">
        <f>B17</f>
        <v>0</v>
      </c>
      <c r="E22" s="82">
        <f>C17</f>
        <v>0</v>
      </c>
      <c r="F22" s="82">
        <f t="shared" ref="F22:M22" si="3">D17</f>
        <v>0</v>
      </c>
      <c r="G22" s="82">
        <f t="shared" si="3"/>
        <v>0</v>
      </c>
      <c r="H22" s="82">
        <f t="shared" si="3"/>
        <v>0</v>
      </c>
      <c r="I22" s="82">
        <f t="shared" si="3"/>
        <v>0</v>
      </c>
      <c r="J22" s="82">
        <f t="shared" si="3"/>
        <v>0</v>
      </c>
      <c r="K22" s="82">
        <f t="shared" si="3"/>
        <v>0</v>
      </c>
      <c r="L22" s="82">
        <f t="shared" si="3"/>
        <v>0</v>
      </c>
      <c r="M22" s="166">
        <f t="shared" si="3"/>
        <v>0</v>
      </c>
    </row>
    <row r="23" spans="1:13">
      <c r="A23" s="165" t="s">
        <v>165</v>
      </c>
      <c r="B23" s="95">
        <v>0</v>
      </c>
      <c r="C23" s="82">
        <f t="shared" ref="C23:D23" si="4">B18</f>
        <v>0</v>
      </c>
      <c r="D23" s="82">
        <f t="shared" si="4"/>
        <v>0</v>
      </c>
      <c r="E23" s="82">
        <f>D18</f>
        <v>0</v>
      </c>
      <c r="F23" s="82">
        <f t="shared" ref="F23:M23" si="5">E18</f>
        <v>0</v>
      </c>
      <c r="G23" s="82">
        <f t="shared" si="5"/>
        <v>0</v>
      </c>
      <c r="H23" s="82">
        <f t="shared" si="5"/>
        <v>0</v>
      </c>
      <c r="I23" s="82">
        <f t="shared" si="5"/>
        <v>0</v>
      </c>
      <c r="J23" s="82">
        <f t="shared" si="5"/>
        <v>0</v>
      </c>
      <c r="K23" s="82">
        <f t="shared" si="5"/>
        <v>0</v>
      </c>
      <c r="L23" s="82">
        <f t="shared" si="5"/>
        <v>0</v>
      </c>
      <c r="M23" s="166">
        <f t="shared" si="5"/>
        <v>0</v>
      </c>
    </row>
    <row r="24" spans="1:13">
      <c r="A24" s="165" t="s">
        <v>167</v>
      </c>
      <c r="B24" s="82">
        <f>+B21+B22+B23</f>
        <v>0</v>
      </c>
      <c r="C24" s="82">
        <f t="shared" ref="C24" si="6">+C21+C22+C23</f>
        <v>0</v>
      </c>
      <c r="D24" s="82">
        <f t="shared" ref="D24" si="7">+D21+D22+D23</f>
        <v>0</v>
      </c>
      <c r="E24" s="82">
        <f t="shared" ref="E24" si="8">+E21+E22+E23</f>
        <v>0</v>
      </c>
      <c r="F24" s="82">
        <f t="shared" ref="F24" si="9">+F21+F22+F23</f>
        <v>0</v>
      </c>
      <c r="G24" s="82">
        <f t="shared" ref="G24" si="10">+G21+G22+G23</f>
        <v>0</v>
      </c>
      <c r="H24" s="82">
        <f t="shared" ref="H24" si="11">+H21+H22+H23</f>
        <v>0</v>
      </c>
      <c r="I24" s="82">
        <f t="shared" ref="I24" si="12">+I21+I22+I23</f>
        <v>0</v>
      </c>
      <c r="J24" s="82">
        <f t="shared" ref="J24" si="13">+J21+J22+J23</f>
        <v>0</v>
      </c>
      <c r="K24" s="82">
        <f t="shared" ref="K24" si="14">+K21+K22+K23</f>
        <v>0</v>
      </c>
      <c r="L24" s="82">
        <f t="shared" ref="L24" si="15">+L21+L22+L23</f>
        <v>0</v>
      </c>
      <c r="M24" s="166">
        <f t="shared" ref="M24" si="16">+M21+M22+M23</f>
        <v>0</v>
      </c>
    </row>
    <row r="25" spans="1:13">
      <c r="A25" s="167"/>
      <c r="B25" s="73"/>
      <c r="C25" s="73"/>
      <c r="D25" s="73"/>
      <c r="E25" s="73"/>
      <c r="F25" s="73"/>
      <c r="G25" s="73"/>
      <c r="H25" s="73"/>
      <c r="I25" s="73"/>
      <c r="J25" s="73"/>
      <c r="K25" s="73"/>
      <c r="L25" s="73"/>
      <c r="M25" s="169"/>
    </row>
    <row r="26" spans="1:13">
      <c r="A26" s="165" t="s">
        <v>155</v>
      </c>
      <c r="B26" s="82">
        <f>SUM(B10:B13)+B19-B24</f>
        <v>0</v>
      </c>
      <c r="C26" s="82">
        <f t="shared" ref="C26:M26" si="17">SUM(C10:C13)+C19-C24</f>
        <v>877.25</v>
      </c>
      <c r="D26" s="82">
        <f t="shared" si="17"/>
        <v>1754.5</v>
      </c>
      <c r="E26" s="82">
        <f t="shared" si="17"/>
        <v>1754.5</v>
      </c>
      <c r="F26" s="82">
        <f t="shared" si="17"/>
        <v>1754.5</v>
      </c>
      <c r="G26" s="82">
        <f t="shared" si="17"/>
        <v>1754.5</v>
      </c>
      <c r="H26" s="82">
        <f t="shared" si="17"/>
        <v>1754.5</v>
      </c>
      <c r="I26" s="82">
        <f t="shared" si="17"/>
        <v>1754.5</v>
      </c>
      <c r="J26" s="82">
        <f t="shared" si="17"/>
        <v>1754.5</v>
      </c>
      <c r="K26" s="82">
        <f t="shared" si="17"/>
        <v>1754.5</v>
      </c>
      <c r="L26" s="82">
        <f t="shared" si="17"/>
        <v>1754.5</v>
      </c>
      <c r="M26" s="166">
        <f t="shared" si="17"/>
        <v>1754.5</v>
      </c>
    </row>
    <row r="27" spans="1:13" ht="13.5" thickBot="1">
      <c r="A27" s="83" t="s">
        <v>61</v>
      </c>
      <c r="B27" s="84">
        <f>+B16*'Financiación corto'!$P$13*3/12+B17*'Financiación corto'!$P$13*2/12+B18*'Financiación corto'!$P$13*1/12</f>
        <v>0</v>
      </c>
      <c r="C27" s="84">
        <f>+C16*'Financiación corto'!$P$13*3/12+C17*'Financiación corto'!$P$13*2/12+C18*'Financiación corto'!$P$13*1/12</f>
        <v>0</v>
      </c>
      <c r="D27" s="84">
        <f>+D16*'Financiación corto'!$P$13*3/12+D17*'Financiación corto'!$P$13*2/12+D18*'Financiación corto'!$P$13*1/12</f>
        <v>0</v>
      </c>
      <c r="E27" s="84">
        <f>+E16*'Financiación corto'!$P$13*3/12+E17*'Financiación corto'!$P$13*2/12+E18*'Financiación corto'!$P$13*1/12</f>
        <v>0</v>
      </c>
      <c r="F27" s="84">
        <f>+F16*'Financiación corto'!$P$13*3/12+F17*'Financiación corto'!$P$13*2/12+F18*'Financiación corto'!$P$13*1/12</f>
        <v>0</v>
      </c>
      <c r="G27" s="84">
        <f>+G16*'Financiación corto'!$P$13*3/12+G17*'Financiación corto'!$P$13*2/12+G18*'Financiación corto'!$P$13*1/12</f>
        <v>0</v>
      </c>
      <c r="H27" s="84">
        <f>+H16*'Financiación corto'!$P$13*3/12+H17*'Financiación corto'!$P$13*2/12+H18*'Financiación corto'!$P$13*1/12</f>
        <v>0</v>
      </c>
      <c r="I27" s="84">
        <f>+I16*'Financiación corto'!$P$13*3/12+I17*'Financiación corto'!$P$13*2/12+I18*'Financiación corto'!$P$13*1/12</f>
        <v>0</v>
      </c>
      <c r="J27" s="84">
        <f>+J16*'Financiación corto'!$P$13*3/12+J17*'Financiación corto'!$P$13*2/12+J18*'Financiación corto'!$P$13*1/12</f>
        <v>0</v>
      </c>
      <c r="K27" s="84">
        <f>+K16*'Financiación corto'!$P$13*3/12+K17*'Financiación corto'!$P$13*2/12+K18*'Financiación corto'!$P$13*1/12</f>
        <v>0</v>
      </c>
      <c r="L27" s="84">
        <f>+L16*'Financiación corto'!$P$13*3/12+L17*'Financiación corto'!$P$13*2/12+L18*'Financiación corto'!$P$13*1/12</f>
        <v>0</v>
      </c>
      <c r="M27" s="170">
        <f>+M16*'Financiación corto'!$P$13*3/12+M17*'Financiación corto'!$P$13*2/12+M18*'Financiación corto'!$P$13*1/12</f>
        <v>0</v>
      </c>
    </row>
    <row r="29" spans="1:13" ht="13.5" thickBot="1">
      <c r="A29" s="93" t="s">
        <v>178</v>
      </c>
      <c r="B29" s="131"/>
      <c r="C29" s="25"/>
      <c r="D29" s="25"/>
      <c r="E29" s="25"/>
      <c r="F29" s="25"/>
      <c r="G29" s="25"/>
      <c r="H29" s="25"/>
      <c r="I29" s="25"/>
      <c r="J29" s="25"/>
      <c r="K29" s="25"/>
      <c r="L29" s="25"/>
      <c r="M29" s="25"/>
    </row>
    <row r="30" spans="1:13">
      <c r="A30" s="132" t="s">
        <v>179</v>
      </c>
      <c r="B30" s="133"/>
      <c r="C30" s="133">
        <f t="shared" ref="C30:M30" si="18">+B33*$P$4/12</f>
        <v>0</v>
      </c>
      <c r="D30" s="133">
        <f t="shared" si="18"/>
        <v>0</v>
      </c>
      <c r="E30" s="133">
        <f t="shared" si="18"/>
        <v>0</v>
      </c>
      <c r="F30" s="133">
        <f t="shared" si="18"/>
        <v>0</v>
      </c>
      <c r="G30" s="133">
        <f t="shared" si="18"/>
        <v>0</v>
      </c>
      <c r="H30" s="133">
        <f t="shared" si="18"/>
        <v>0</v>
      </c>
      <c r="I30" s="133">
        <f t="shared" si="18"/>
        <v>0</v>
      </c>
      <c r="J30" s="133">
        <f t="shared" si="18"/>
        <v>0</v>
      </c>
      <c r="K30" s="133">
        <f t="shared" si="18"/>
        <v>0</v>
      </c>
      <c r="L30" s="133">
        <f t="shared" si="18"/>
        <v>0</v>
      </c>
      <c r="M30" s="161">
        <f t="shared" si="18"/>
        <v>0</v>
      </c>
    </row>
    <row r="31" spans="1:13">
      <c r="A31" s="115" t="s">
        <v>180</v>
      </c>
      <c r="B31" s="134"/>
      <c r="C31" s="134"/>
      <c r="D31" s="134"/>
      <c r="E31" s="134"/>
      <c r="F31" s="134"/>
      <c r="G31" s="134"/>
      <c r="H31" s="134"/>
      <c r="I31" s="134"/>
      <c r="J31" s="134"/>
      <c r="K31" s="134"/>
      <c r="L31" s="134"/>
      <c r="M31" s="135"/>
    </row>
    <row r="32" spans="1:13">
      <c r="A32" s="115" t="s">
        <v>181</v>
      </c>
      <c r="B32" s="134"/>
      <c r="C32" s="134"/>
      <c r="D32" s="134"/>
      <c r="E32" s="134"/>
      <c r="F32" s="134"/>
      <c r="G32" s="134"/>
      <c r="H32" s="134"/>
      <c r="I32" s="134"/>
      <c r="J32" s="134"/>
      <c r="K32" s="134"/>
      <c r="L32" s="134"/>
      <c r="M32" s="135"/>
    </row>
    <row r="33" spans="1:13" ht="13.5" thickBot="1">
      <c r="A33" s="136" t="s">
        <v>182</v>
      </c>
      <c r="B33" s="137">
        <f>+B31</f>
        <v>0</v>
      </c>
      <c r="C33" s="137">
        <f t="shared" ref="C33:M33" si="19">+C31+B33-C32</f>
        <v>0</v>
      </c>
      <c r="D33" s="137">
        <f t="shared" si="19"/>
        <v>0</v>
      </c>
      <c r="E33" s="137">
        <f t="shared" si="19"/>
        <v>0</v>
      </c>
      <c r="F33" s="137">
        <f t="shared" si="19"/>
        <v>0</v>
      </c>
      <c r="G33" s="137">
        <f t="shared" si="19"/>
        <v>0</v>
      </c>
      <c r="H33" s="137">
        <f t="shared" si="19"/>
        <v>0</v>
      </c>
      <c r="I33" s="137">
        <f t="shared" si="19"/>
        <v>0</v>
      </c>
      <c r="J33" s="137">
        <f t="shared" si="19"/>
        <v>0</v>
      </c>
      <c r="K33" s="137">
        <f t="shared" si="19"/>
        <v>0</v>
      </c>
      <c r="L33" s="137">
        <f t="shared" si="19"/>
        <v>0</v>
      </c>
      <c r="M33" s="138">
        <f t="shared" si="19"/>
        <v>0</v>
      </c>
    </row>
    <row r="34" spans="1:13">
      <c r="A34" s="139"/>
      <c r="B34" s="3"/>
      <c r="C34" s="3"/>
      <c r="D34" s="3"/>
      <c r="E34" s="3"/>
      <c r="F34" s="3"/>
      <c r="G34" s="3"/>
      <c r="H34" s="3"/>
      <c r="I34" s="3"/>
      <c r="J34" s="3"/>
      <c r="K34" s="3"/>
      <c r="L34" s="3"/>
      <c r="M34" s="15"/>
    </row>
    <row r="35" spans="1:13" ht="13.5" thickBot="1">
      <c r="A35" s="136" t="s">
        <v>183</v>
      </c>
      <c r="B35" s="140"/>
      <c r="C35" s="140"/>
      <c r="D35" s="140"/>
      <c r="E35" s="140"/>
      <c r="F35" s="140"/>
      <c r="G35" s="140"/>
      <c r="H35" s="140"/>
      <c r="I35" s="140"/>
      <c r="J35" s="140"/>
      <c r="K35" s="140"/>
      <c r="L35" s="140"/>
      <c r="M35" s="141"/>
    </row>
    <row r="36" spans="1:13">
      <c r="A36" s="142" t="s">
        <v>184</v>
      </c>
      <c r="B36" s="143"/>
      <c r="C36" s="143"/>
      <c r="D36" s="143"/>
      <c r="E36" s="143"/>
      <c r="F36" s="143"/>
      <c r="G36" s="143"/>
      <c r="H36" s="143"/>
      <c r="I36" s="143"/>
      <c r="J36" s="143"/>
      <c r="K36" s="143"/>
      <c r="L36" s="143"/>
      <c r="M36" s="144"/>
    </row>
    <row r="37" spans="1:13">
      <c r="A37" s="139" t="s">
        <v>185</v>
      </c>
      <c r="B37" s="145"/>
      <c r="C37" s="145">
        <f t="shared" ref="C37:M37" si="20">+B39*$P$16/12</f>
        <v>0</v>
      </c>
      <c r="D37" s="145">
        <f t="shared" si="20"/>
        <v>0</v>
      </c>
      <c r="E37" s="145">
        <f t="shared" si="20"/>
        <v>0</v>
      </c>
      <c r="F37" s="145">
        <f t="shared" si="20"/>
        <v>0</v>
      </c>
      <c r="G37" s="145">
        <f t="shared" si="20"/>
        <v>0</v>
      </c>
      <c r="H37" s="145">
        <f t="shared" si="20"/>
        <v>0</v>
      </c>
      <c r="I37" s="145">
        <f t="shared" si="20"/>
        <v>0</v>
      </c>
      <c r="J37" s="145">
        <f t="shared" si="20"/>
        <v>0</v>
      </c>
      <c r="K37" s="145">
        <f t="shared" si="20"/>
        <v>0</v>
      </c>
      <c r="L37" s="145">
        <f t="shared" si="20"/>
        <v>0</v>
      </c>
      <c r="M37" s="146">
        <f t="shared" si="20"/>
        <v>0</v>
      </c>
    </row>
    <row r="38" spans="1:13">
      <c r="A38" s="139" t="s">
        <v>186</v>
      </c>
      <c r="B38" s="134"/>
      <c r="C38" s="134"/>
      <c r="D38" s="134"/>
      <c r="E38" s="134"/>
      <c r="F38" s="134"/>
      <c r="G38" s="134"/>
      <c r="H38" s="134"/>
      <c r="I38" s="134"/>
      <c r="J38" s="134"/>
      <c r="K38" s="134"/>
      <c r="L38" s="134"/>
      <c r="M38" s="135"/>
    </row>
    <row r="39" spans="1:13" ht="13.5" thickBot="1">
      <c r="A39" s="147" t="s">
        <v>187</v>
      </c>
      <c r="B39" s="137">
        <f>+B36</f>
        <v>0</v>
      </c>
      <c r="C39" s="137">
        <f>+C36+B39-C38</f>
        <v>0</v>
      </c>
      <c r="D39" s="137">
        <f t="shared" ref="D39:M39" si="21">+D36+C39-D38</f>
        <v>0</v>
      </c>
      <c r="E39" s="137">
        <f t="shared" si="21"/>
        <v>0</v>
      </c>
      <c r="F39" s="137">
        <f t="shared" si="21"/>
        <v>0</v>
      </c>
      <c r="G39" s="137">
        <f t="shared" si="21"/>
        <v>0</v>
      </c>
      <c r="H39" s="137">
        <f t="shared" si="21"/>
        <v>0</v>
      </c>
      <c r="I39" s="137">
        <f t="shared" si="21"/>
        <v>0</v>
      </c>
      <c r="J39" s="137">
        <f t="shared" si="21"/>
        <v>0</v>
      </c>
      <c r="K39" s="137">
        <f t="shared" si="21"/>
        <v>0</v>
      </c>
      <c r="L39" s="137">
        <f t="shared" si="21"/>
        <v>0</v>
      </c>
      <c r="M39" s="138">
        <f t="shared" si="21"/>
        <v>0</v>
      </c>
    </row>
    <row r="40" spans="1:13">
      <c r="A40" s="115"/>
      <c r="B40" s="25"/>
      <c r="C40" s="25"/>
      <c r="D40" s="25"/>
      <c r="E40" s="25"/>
      <c r="F40" s="25"/>
      <c r="G40" s="25"/>
      <c r="H40" s="25"/>
      <c r="I40" s="25"/>
      <c r="J40" s="25"/>
      <c r="K40" s="25"/>
      <c r="L40" s="25"/>
      <c r="M40" s="130"/>
    </row>
    <row r="41" spans="1:13" ht="13.5" thickBot="1">
      <c r="A41" s="115" t="s">
        <v>188</v>
      </c>
      <c r="B41" s="25"/>
      <c r="C41" s="25"/>
      <c r="D41" s="25"/>
      <c r="E41" s="25"/>
      <c r="F41" s="25"/>
      <c r="G41" s="25"/>
      <c r="H41" s="25"/>
      <c r="I41" s="25"/>
      <c r="J41" s="25"/>
      <c r="K41" s="25"/>
      <c r="L41" s="25"/>
      <c r="M41" s="130"/>
    </row>
    <row r="42" spans="1:13">
      <c r="A42" s="132" t="s">
        <v>180</v>
      </c>
      <c r="B42" s="148"/>
      <c r="C42" s="148"/>
      <c r="D42" s="148"/>
      <c r="E42" s="148"/>
      <c r="F42" s="148"/>
      <c r="G42" s="148"/>
      <c r="H42" s="148"/>
      <c r="I42" s="148"/>
      <c r="J42" s="148"/>
      <c r="K42" s="148"/>
      <c r="L42" s="148"/>
      <c r="M42" s="149"/>
    </row>
    <row r="43" spans="1:13">
      <c r="A43" s="115" t="s">
        <v>181</v>
      </c>
      <c r="B43" s="150"/>
      <c r="C43" s="151"/>
      <c r="D43" s="151"/>
      <c r="E43" s="151"/>
      <c r="F43" s="151"/>
      <c r="G43" s="151"/>
      <c r="H43" s="151"/>
      <c r="I43" s="151"/>
      <c r="J43" s="151"/>
      <c r="K43" s="151"/>
      <c r="L43" s="151"/>
      <c r="M43" s="152"/>
    </row>
    <row r="44" spans="1:13">
      <c r="A44" s="115" t="s">
        <v>182</v>
      </c>
      <c r="B44" s="145">
        <f>+B42</f>
        <v>0</v>
      </c>
      <c r="C44" s="145">
        <f t="shared" ref="C44:M44" si="22">+C42+B44-C43</f>
        <v>0</v>
      </c>
      <c r="D44" s="145">
        <f t="shared" si="22"/>
        <v>0</v>
      </c>
      <c r="E44" s="145">
        <f t="shared" si="22"/>
        <v>0</v>
      </c>
      <c r="F44" s="145">
        <f t="shared" si="22"/>
        <v>0</v>
      </c>
      <c r="G44" s="145">
        <f t="shared" si="22"/>
        <v>0</v>
      </c>
      <c r="H44" s="145">
        <f t="shared" si="22"/>
        <v>0</v>
      </c>
      <c r="I44" s="145">
        <f t="shared" si="22"/>
        <v>0</v>
      </c>
      <c r="J44" s="145">
        <f t="shared" si="22"/>
        <v>0</v>
      </c>
      <c r="K44" s="145">
        <f t="shared" si="22"/>
        <v>0</v>
      </c>
      <c r="L44" s="145">
        <f t="shared" si="22"/>
        <v>0</v>
      </c>
      <c r="M44" s="146">
        <f t="shared" si="22"/>
        <v>0</v>
      </c>
    </row>
    <row r="45" spans="1:13">
      <c r="A45" s="115" t="s">
        <v>189</v>
      </c>
      <c r="B45" s="145"/>
      <c r="C45" s="145">
        <f t="shared" ref="C45:M45" si="23">+B44*$P$9/12</f>
        <v>0</v>
      </c>
      <c r="D45" s="145">
        <f t="shared" si="23"/>
        <v>0</v>
      </c>
      <c r="E45" s="145">
        <f t="shared" si="23"/>
        <v>0</v>
      </c>
      <c r="F45" s="145">
        <f t="shared" si="23"/>
        <v>0</v>
      </c>
      <c r="G45" s="145">
        <f t="shared" si="23"/>
        <v>0</v>
      </c>
      <c r="H45" s="145">
        <f t="shared" si="23"/>
        <v>0</v>
      </c>
      <c r="I45" s="145">
        <f t="shared" si="23"/>
        <v>0</v>
      </c>
      <c r="J45" s="145">
        <f t="shared" si="23"/>
        <v>0</v>
      </c>
      <c r="K45" s="145">
        <f t="shared" si="23"/>
        <v>0</v>
      </c>
      <c r="L45" s="145">
        <f t="shared" si="23"/>
        <v>0</v>
      </c>
      <c r="M45" s="146">
        <f t="shared" si="23"/>
        <v>0</v>
      </c>
    </row>
    <row r="46" spans="1:13" ht="13.5" thickBot="1">
      <c r="A46" s="136" t="s">
        <v>177</v>
      </c>
      <c r="B46" s="137"/>
      <c r="C46" s="137">
        <f t="shared" ref="C46:M46" si="24">+($P$8-B44)*$P$10/3</f>
        <v>0</v>
      </c>
      <c r="D46" s="137">
        <f t="shared" si="24"/>
        <v>0</v>
      </c>
      <c r="E46" s="137">
        <f t="shared" si="24"/>
        <v>0</v>
      </c>
      <c r="F46" s="137">
        <f t="shared" si="24"/>
        <v>0</v>
      </c>
      <c r="G46" s="137">
        <f t="shared" si="24"/>
        <v>0</v>
      </c>
      <c r="H46" s="137">
        <f t="shared" si="24"/>
        <v>0</v>
      </c>
      <c r="I46" s="137">
        <f t="shared" si="24"/>
        <v>0</v>
      </c>
      <c r="J46" s="137">
        <f t="shared" si="24"/>
        <v>0</v>
      </c>
      <c r="K46" s="137">
        <f t="shared" si="24"/>
        <v>0</v>
      </c>
      <c r="L46" s="137">
        <f t="shared" si="24"/>
        <v>0</v>
      </c>
      <c r="M46" s="138">
        <f t="shared" si="24"/>
        <v>0</v>
      </c>
    </row>
  </sheetData>
  <mergeCells count="4">
    <mergeCell ref="O3:P3"/>
    <mergeCell ref="O7:P7"/>
    <mergeCell ref="O12:P12"/>
    <mergeCell ref="O15:P15"/>
  </mergeCells>
  <conditionalFormatting sqref="B44:M44 B33:M33">
    <cfRule type="cellIs" dxfId="0" priority="1" stopIfTrue="1" operator="greaterThan">
      <formula>#REF!</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2:M9"/>
  <sheetViews>
    <sheetView showGridLines="0" workbookViewId="0">
      <selection activeCell="C17" sqref="C17"/>
    </sheetView>
  </sheetViews>
  <sheetFormatPr baseColWidth="10" defaultRowHeight="12.75"/>
  <cols>
    <col min="1" max="1" width="26.42578125" customWidth="1"/>
  </cols>
  <sheetData>
    <row r="2" spans="1:13">
      <c r="A2" s="90" t="s">
        <v>37</v>
      </c>
      <c r="B2" s="198">
        <f>+'P y G'!B28</f>
        <v>1827.8637992831541</v>
      </c>
      <c r="C2" s="198">
        <f>+'P y G'!C28</f>
        <v>914.69534050179209</v>
      </c>
      <c r="D2" s="198">
        <f>+'P y G'!D28</f>
        <v>914.69534050179209</v>
      </c>
      <c r="E2" s="198">
        <f>+'P y G'!E28</f>
        <v>914.69534050179209</v>
      </c>
      <c r="F2" s="198">
        <f>+'P y G'!F28</f>
        <v>914.69534050179209</v>
      </c>
      <c r="G2" s="198">
        <f>+'P y G'!G28</f>
        <v>914.69534050179209</v>
      </c>
      <c r="H2" s="198">
        <f>+'P y G'!H28</f>
        <v>914.69534050179209</v>
      </c>
      <c r="I2" s="198">
        <f>+'P y G'!I28</f>
        <v>914.69534050179209</v>
      </c>
      <c r="J2" s="198">
        <f>+'P y G'!J28</f>
        <v>914.69534050179209</v>
      </c>
      <c r="K2" s="198">
        <f>+'P y G'!K28</f>
        <v>914.69534050179209</v>
      </c>
      <c r="L2" s="198">
        <f>+'P y G'!L28</f>
        <v>914.69534050179209</v>
      </c>
      <c r="M2" s="198">
        <f>+'P y G'!M28</f>
        <v>914.69534050179209</v>
      </c>
    </row>
    <row r="3" spans="1:13" ht="13.5" thickBot="1"/>
    <row r="4" spans="1:13">
      <c r="A4" s="182"/>
      <c r="B4" s="183" t="s">
        <v>137</v>
      </c>
      <c r="C4" s="183" t="s">
        <v>138</v>
      </c>
      <c r="D4" s="183" t="s">
        <v>139</v>
      </c>
      <c r="E4" s="183" t="s">
        <v>140</v>
      </c>
      <c r="F4" s="183" t="s">
        <v>141</v>
      </c>
      <c r="G4" s="183" t="s">
        <v>142</v>
      </c>
      <c r="H4" s="183" t="s">
        <v>143</v>
      </c>
      <c r="I4" s="183" t="s">
        <v>144</v>
      </c>
      <c r="J4" s="183" t="s">
        <v>145</v>
      </c>
      <c r="K4" s="183" t="s">
        <v>146</v>
      </c>
      <c r="L4" s="183" t="s">
        <v>147</v>
      </c>
      <c r="M4" s="184" t="s">
        <v>148</v>
      </c>
    </row>
    <row r="5" spans="1:13">
      <c r="A5" s="165" t="s">
        <v>207</v>
      </c>
      <c r="B5" s="185">
        <v>0</v>
      </c>
      <c r="C5" s="185">
        <v>0</v>
      </c>
      <c r="D5" s="185">
        <v>0</v>
      </c>
      <c r="E5" s="185">
        <f>+(B2*'Datos Previsiones'!$K$43)*(1+'Datos Previsiones'!$C$41)</f>
        <v>0</v>
      </c>
      <c r="F5" s="185">
        <f>+(C2*'Datos Previsiones'!$K$43)*(1+'Datos Previsiones'!$C$41)</f>
        <v>0</v>
      </c>
      <c r="G5" s="185">
        <f>+(D2*'Datos Previsiones'!$K$43)*(1+'Datos Previsiones'!$C$41)</f>
        <v>0</v>
      </c>
      <c r="H5" s="185">
        <f>+(E2*'Datos Previsiones'!$K$43)*(1+'Datos Previsiones'!$C$41)</f>
        <v>0</v>
      </c>
      <c r="I5" s="185">
        <f>+(F2*'Datos Previsiones'!$K$43)*(1+'Datos Previsiones'!$C$41)</f>
        <v>0</v>
      </c>
      <c r="J5" s="185">
        <f>+(G2*'Datos Previsiones'!$K$43)*(1+'Datos Previsiones'!$C$41)</f>
        <v>0</v>
      </c>
      <c r="K5" s="185">
        <f>+(H2*'Datos Previsiones'!$K$43)*(1+'Datos Previsiones'!$C$41)</f>
        <v>0</v>
      </c>
      <c r="L5" s="185">
        <f>+(I2*'Datos Previsiones'!$K$43)*(1+'Datos Previsiones'!$C$41)</f>
        <v>0</v>
      </c>
      <c r="M5" s="185">
        <f>+(J2*'Datos Previsiones'!$K$43)*(1+'Datos Previsiones'!$C$41)</f>
        <v>0</v>
      </c>
    </row>
    <row r="6" spans="1:13">
      <c r="A6" s="165" t="s">
        <v>209</v>
      </c>
      <c r="B6" s="185">
        <v>0</v>
      </c>
      <c r="C6" s="185">
        <v>0</v>
      </c>
      <c r="D6" s="185">
        <f>+(B2*'Datos Previsiones'!$K$42)*(1+'Datos Previsiones'!$C$41)</f>
        <v>0</v>
      </c>
      <c r="E6" s="185">
        <f>+(C2*'Datos Previsiones'!$K$42)*(1+'Datos Previsiones'!$C$41)</f>
        <v>0</v>
      </c>
      <c r="F6" s="185">
        <f>+(D2*'Datos Previsiones'!$K$42)*(1+'Datos Previsiones'!$C$41)</f>
        <v>0</v>
      </c>
      <c r="G6" s="185">
        <f>+(E2*'Datos Previsiones'!$K$42)*(1+'Datos Previsiones'!$C$41)</f>
        <v>0</v>
      </c>
      <c r="H6" s="185">
        <f>+(F2*'Datos Previsiones'!$K$42)*(1+'Datos Previsiones'!$C$41)</f>
        <v>0</v>
      </c>
      <c r="I6" s="185">
        <f>+(G2*'Datos Previsiones'!$K$42)*(1+'Datos Previsiones'!$C$41)</f>
        <v>0</v>
      </c>
      <c r="J6" s="185">
        <f>+(H2*'Datos Previsiones'!$K$42)*(1+'Datos Previsiones'!$C$41)</f>
        <v>0</v>
      </c>
      <c r="K6" s="185">
        <f>+(I2*'Datos Previsiones'!$K$42)*(1+'Datos Previsiones'!$C$41)</f>
        <v>0</v>
      </c>
      <c r="L6" s="185">
        <f>+(J2*'Datos Previsiones'!$K$42)*(1+'Datos Previsiones'!$C$41)</f>
        <v>0</v>
      </c>
      <c r="M6" s="185">
        <f>+(K2*'Datos Previsiones'!$K$42)*(1+'Datos Previsiones'!$C$41)</f>
        <v>0</v>
      </c>
    </row>
    <row r="7" spans="1:13">
      <c r="A7" s="165" t="s">
        <v>210</v>
      </c>
      <c r="B7" s="185">
        <v>0</v>
      </c>
      <c r="C7" s="185">
        <f>+(B2*'Datos Previsiones'!$K$41)*(1+'Datos Previsiones'!$C$41)</f>
        <v>2211.7151971326166</v>
      </c>
      <c r="D7" s="185">
        <f>+(C2*'Datos Previsiones'!$K$41)*(1+'Datos Previsiones'!$C$41)</f>
        <v>1106.7813620071684</v>
      </c>
      <c r="E7" s="185">
        <f>+(D2*'Datos Previsiones'!$K$41)*(1+'Datos Previsiones'!$C$41)</f>
        <v>1106.7813620071684</v>
      </c>
      <c r="F7" s="185">
        <f>+(E2*'Datos Previsiones'!$K$41)*(1+'Datos Previsiones'!$C$41)</f>
        <v>1106.7813620071684</v>
      </c>
      <c r="G7" s="185">
        <f>+(F2*'Datos Previsiones'!$K$41)*(1+'Datos Previsiones'!$C$41)</f>
        <v>1106.7813620071684</v>
      </c>
      <c r="H7" s="185">
        <f>+(G2*'Datos Previsiones'!$K$41)*(1+'Datos Previsiones'!$C$41)</f>
        <v>1106.7813620071684</v>
      </c>
      <c r="I7" s="185">
        <f>+(H2*'Datos Previsiones'!$K$41)*(1+'Datos Previsiones'!$C$41)</f>
        <v>1106.7813620071684</v>
      </c>
      <c r="J7" s="185">
        <f>+(I2*'Datos Previsiones'!$K$41)*(1+'Datos Previsiones'!$C$41)</f>
        <v>1106.7813620071684</v>
      </c>
      <c r="K7" s="185">
        <f>+(J2*'Datos Previsiones'!$K$41)*(1+'Datos Previsiones'!$C$41)</f>
        <v>1106.7813620071684</v>
      </c>
      <c r="L7" s="185">
        <f>+(K2*'Datos Previsiones'!$K$41)*(1+'Datos Previsiones'!$C$41)</f>
        <v>1106.7813620071684</v>
      </c>
      <c r="M7" s="185">
        <f>+(L2*'Datos Previsiones'!$K$41)*(1+'Datos Previsiones'!$C$41)</f>
        <v>1106.7813620071684</v>
      </c>
    </row>
    <row r="8" spans="1:13">
      <c r="A8" s="165" t="s">
        <v>208</v>
      </c>
      <c r="B8" s="185">
        <f>+(B2*'Datos Previsiones'!$K$40)*(1+'Datos Previsiones'!$C$41)</f>
        <v>0</v>
      </c>
      <c r="C8" s="185">
        <f>+(C2*'Datos Previsiones'!$K$40)*(1+'Datos Previsiones'!$C$41)</f>
        <v>0</v>
      </c>
      <c r="D8" s="185">
        <f>+(D2*'Datos Previsiones'!$K$40)*(1+'Datos Previsiones'!$C$41)</f>
        <v>0</v>
      </c>
      <c r="E8" s="185">
        <f>+(E2*'Datos Previsiones'!$K$40)*(1+'Datos Previsiones'!$C$41)</f>
        <v>0</v>
      </c>
      <c r="F8" s="185">
        <f>+(F2*'Datos Previsiones'!$K$40)*(1+'Datos Previsiones'!$C$41)</f>
        <v>0</v>
      </c>
      <c r="G8" s="185">
        <f>+(G2*'Datos Previsiones'!$K$40)*(1+'Datos Previsiones'!$C$41)</f>
        <v>0</v>
      </c>
      <c r="H8" s="185">
        <f>+(H2*'Datos Previsiones'!$K$40)*(1+'Datos Previsiones'!$C$41)</f>
        <v>0</v>
      </c>
      <c r="I8" s="185">
        <f>+(I2*'Datos Previsiones'!$K$40)*(1+'Datos Previsiones'!$C$41)</f>
        <v>0</v>
      </c>
      <c r="J8" s="185">
        <f>+(J2*'Datos Previsiones'!$K$40)*(1+'Datos Previsiones'!$C$41)</f>
        <v>0</v>
      </c>
      <c r="K8" s="185">
        <f>+(K2*'Datos Previsiones'!$K$40)*(1+'Datos Previsiones'!$C$41)</f>
        <v>0</v>
      </c>
      <c r="L8" s="185">
        <f>+(L2*'Datos Previsiones'!$K$40)*(1+'Datos Previsiones'!$C$41)</f>
        <v>0</v>
      </c>
      <c r="M8" s="185">
        <f>+(M2*'Datos Previsiones'!$K$40)*(1+'Datos Previsiones'!$C$41)</f>
        <v>0</v>
      </c>
    </row>
    <row r="9" spans="1:13">
      <c r="A9" s="165" t="s">
        <v>168</v>
      </c>
      <c r="B9" s="185">
        <f t="shared" ref="B9:M9" si="0">SUM(B5:B8)</f>
        <v>0</v>
      </c>
      <c r="C9" s="185">
        <f t="shared" si="0"/>
        <v>2211.7151971326166</v>
      </c>
      <c r="D9" s="185">
        <f t="shared" si="0"/>
        <v>1106.7813620071684</v>
      </c>
      <c r="E9" s="185">
        <f t="shared" si="0"/>
        <v>1106.7813620071684</v>
      </c>
      <c r="F9" s="185">
        <f t="shared" si="0"/>
        <v>1106.7813620071684</v>
      </c>
      <c r="G9" s="185">
        <f t="shared" si="0"/>
        <v>1106.7813620071684</v>
      </c>
      <c r="H9" s="185">
        <f t="shared" si="0"/>
        <v>1106.7813620071684</v>
      </c>
      <c r="I9" s="185">
        <f t="shared" si="0"/>
        <v>1106.7813620071684</v>
      </c>
      <c r="J9" s="185">
        <f t="shared" si="0"/>
        <v>1106.7813620071684</v>
      </c>
      <c r="K9" s="185">
        <f t="shared" si="0"/>
        <v>1106.7813620071684</v>
      </c>
      <c r="L9" s="185">
        <f t="shared" si="0"/>
        <v>1106.7813620071684</v>
      </c>
      <c r="M9" s="186">
        <f t="shared" si="0"/>
        <v>1106.7813620071684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R134"/>
  <sheetViews>
    <sheetView showGridLines="0" zoomScale="80" zoomScaleNormal="80" workbookViewId="0">
      <selection activeCell="H19" sqref="H19"/>
    </sheetView>
  </sheetViews>
  <sheetFormatPr baseColWidth="10" defaultRowHeight="12.75" outlineLevelRow="1"/>
  <cols>
    <col min="1" max="1" width="42.140625" style="171" customWidth="1"/>
    <col min="2" max="2" width="16.140625" style="171" customWidth="1"/>
    <col min="3" max="3" width="12.7109375" style="171" customWidth="1"/>
    <col min="4" max="4" width="14.42578125" style="171" customWidth="1"/>
    <col min="5" max="6" width="12.7109375" style="171" customWidth="1"/>
    <col min="7" max="7" width="16.28515625" style="171" customWidth="1"/>
    <col min="8" max="8" width="12.7109375" style="171" customWidth="1"/>
    <col min="9" max="9" width="14.28515625" style="171" customWidth="1"/>
    <col min="10" max="13" width="12.7109375" style="171" customWidth="1"/>
    <col min="14" max="14" width="16.42578125" style="171" customWidth="1"/>
    <col min="15" max="256" width="11.42578125" style="171"/>
    <col min="257" max="257" width="42.140625" style="171" customWidth="1"/>
    <col min="258" max="258" width="16.140625" style="171" customWidth="1"/>
    <col min="259" max="259" width="12.7109375" style="171" customWidth="1"/>
    <col min="260" max="260" width="14.42578125" style="171" customWidth="1"/>
    <col min="261" max="262" width="12.7109375" style="171" customWidth="1"/>
    <col min="263" max="263" width="16.28515625" style="171" customWidth="1"/>
    <col min="264" max="264" width="12.7109375" style="171" customWidth="1"/>
    <col min="265" max="265" width="14.28515625" style="171" customWidth="1"/>
    <col min="266" max="269" width="12.7109375" style="171" customWidth="1"/>
    <col min="270" max="270" width="16.42578125" style="171" customWidth="1"/>
    <col min="271" max="512" width="11.42578125" style="171"/>
    <col min="513" max="513" width="42.140625" style="171" customWidth="1"/>
    <col min="514" max="514" width="16.140625" style="171" customWidth="1"/>
    <col min="515" max="515" width="12.7109375" style="171" customWidth="1"/>
    <col min="516" max="516" width="14.42578125" style="171" customWidth="1"/>
    <col min="517" max="518" width="12.7109375" style="171" customWidth="1"/>
    <col min="519" max="519" width="16.28515625" style="171" customWidth="1"/>
    <col min="520" max="520" width="12.7109375" style="171" customWidth="1"/>
    <col min="521" max="521" width="14.28515625" style="171" customWidth="1"/>
    <col min="522" max="525" width="12.7109375" style="171" customWidth="1"/>
    <col min="526" max="526" width="16.42578125" style="171" customWidth="1"/>
    <col min="527" max="768" width="11.42578125" style="171"/>
    <col min="769" max="769" width="42.140625" style="171" customWidth="1"/>
    <col min="770" max="770" width="16.140625" style="171" customWidth="1"/>
    <col min="771" max="771" width="12.7109375" style="171" customWidth="1"/>
    <col min="772" max="772" width="14.42578125" style="171" customWidth="1"/>
    <col min="773" max="774" width="12.7109375" style="171" customWidth="1"/>
    <col min="775" max="775" width="16.28515625" style="171" customWidth="1"/>
    <col min="776" max="776" width="12.7109375" style="171" customWidth="1"/>
    <col min="777" max="777" width="14.28515625" style="171" customWidth="1"/>
    <col min="778" max="781" width="12.7109375" style="171" customWidth="1"/>
    <col min="782" max="782" width="16.42578125" style="171" customWidth="1"/>
    <col min="783" max="1024" width="11.42578125" style="171"/>
    <col min="1025" max="1025" width="42.140625" style="171" customWidth="1"/>
    <col min="1026" max="1026" width="16.140625" style="171" customWidth="1"/>
    <col min="1027" max="1027" width="12.7109375" style="171" customWidth="1"/>
    <col min="1028" max="1028" width="14.42578125" style="171" customWidth="1"/>
    <col min="1029" max="1030" width="12.7109375" style="171" customWidth="1"/>
    <col min="1031" max="1031" width="16.28515625" style="171" customWidth="1"/>
    <col min="1032" max="1032" width="12.7109375" style="171" customWidth="1"/>
    <col min="1033" max="1033" width="14.28515625" style="171" customWidth="1"/>
    <col min="1034" max="1037" width="12.7109375" style="171" customWidth="1"/>
    <col min="1038" max="1038" width="16.42578125" style="171" customWidth="1"/>
    <col min="1039" max="1280" width="11.42578125" style="171"/>
    <col min="1281" max="1281" width="42.140625" style="171" customWidth="1"/>
    <col min="1282" max="1282" width="16.140625" style="171" customWidth="1"/>
    <col min="1283" max="1283" width="12.7109375" style="171" customWidth="1"/>
    <col min="1284" max="1284" width="14.42578125" style="171" customWidth="1"/>
    <col min="1285" max="1286" width="12.7109375" style="171" customWidth="1"/>
    <col min="1287" max="1287" width="16.28515625" style="171" customWidth="1"/>
    <col min="1288" max="1288" width="12.7109375" style="171" customWidth="1"/>
    <col min="1289" max="1289" width="14.28515625" style="171" customWidth="1"/>
    <col min="1290" max="1293" width="12.7109375" style="171" customWidth="1"/>
    <col min="1294" max="1294" width="16.42578125" style="171" customWidth="1"/>
    <col min="1295" max="1536" width="11.42578125" style="171"/>
    <col min="1537" max="1537" width="42.140625" style="171" customWidth="1"/>
    <col min="1538" max="1538" width="16.140625" style="171" customWidth="1"/>
    <col min="1539" max="1539" width="12.7109375" style="171" customWidth="1"/>
    <col min="1540" max="1540" width="14.42578125" style="171" customWidth="1"/>
    <col min="1541" max="1542" width="12.7109375" style="171" customWidth="1"/>
    <col min="1543" max="1543" width="16.28515625" style="171" customWidth="1"/>
    <col min="1544" max="1544" width="12.7109375" style="171" customWidth="1"/>
    <col min="1545" max="1545" width="14.28515625" style="171" customWidth="1"/>
    <col min="1546" max="1549" width="12.7109375" style="171" customWidth="1"/>
    <col min="1550" max="1550" width="16.42578125" style="171" customWidth="1"/>
    <col min="1551" max="1792" width="11.42578125" style="171"/>
    <col min="1793" max="1793" width="42.140625" style="171" customWidth="1"/>
    <col min="1794" max="1794" width="16.140625" style="171" customWidth="1"/>
    <col min="1795" max="1795" width="12.7109375" style="171" customWidth="1"/>
    <col min="1796" max="1796" width="14.42578125" style="171" customWidth="1"/>
    <col min="1797" max="1798" width="12.7109375" style="171" customWidth="1"/>
    <col min="1799" max="1799" width="16.28515625" style="171" customWidth="1"/>
    <col min="1800" max="1800" width="12.7109375" style="171" customWidth="1"/>
    <col min="1801" max="1801" width="14.28515625" style="171" customWidth="1"/>
    <col min="1802" max="1805" width="12.7109375" style="171" customWidth="1"/>
    <col min="1806" max="1806" width="16.42578125" style="171" customWidth="1"/>
    <col min="1807" max="2048" width="11.42578125" style="171"/>
    <col min="2049" max="2049" width="42.140625" style="171" customWidth="1"/>
    <col min="2050" max="2050" width="16.140625" style="171" customWidth="1"/>
    <col min="2051" max="2051" width="12.7109375" style="171" customWidth="1"/>
    <col min="2052" max="2052" width="14.42578125" style="171" customWidth="1"/>
    <col min="2053" max="2054" width="12.7109375" style="171" customWidth="1"/>
    <col min="2055" max="2055" width="16.28515625" style="171" customWidth="1"/>
    <col min="2056" max="2056" width="12.7109375" style="171" customWidth="1"/>
    <col min="2057" max="2057" width="14.28515625" style="171" customWidth="1"/>
    <col min="2058" max="2061" width="12.7109375" style="171" customWidth="1"/>
    <col min="2062" max="2062" width="16.42578125" style="171" customWidth="1"/>
    <col min="2063" max="2304" width="11.42578125" style="171"/>
    <col min="2305" max="2305" width="42.140625" style="171" customWidth="1"/>
    <col min="2306" max="2306" width="16.140625" style="171" customWidth="1"/>
    <col min="2307" max="2307" width="12.7109375" style="171" customWidth="1"/>
    <col min="2308" max="2308" width="14.42578125" style="171" customWidth="1"/>
    <col min="2309" max="2310" width="12.7109375" style="171" customWidth="1"/>
    <col min="2311" max="2311" width="16.28515625" style="171" customWidth="1"/>
    <col min="2312" max="2312" width="12.7109375" style="171" customWidth="1"/>
    <col min="2313" max="2313" width="14.28515625" style="171" customWidth="1"/>
    <col min="2314" max="2317" width="12.7109375" style="171" customWidth="1"/>
    <col min="2318" max="2318" width="16.42578125" style="171" customWidth="1"/>
    <col min="2319" max="2560" width="11.42578125" style="171"/>
    <col min="2561" max="2561" width="42.140625" style="171" customWidth="1"/>
    <col min="2562" max="2562" width="16.140625" style="171" customWidth="1"/>
    <col min="2563" max="2563" width="12.7109375" style="171" customWidth="1"/>
    <col min="2564" max="2564" width="14.42578125" style="171" customWidth="1"/>
    <col min="2565" max="2566" width="12.7109375" style="171" customWidth="1"/>
    <col min="2567" max="2567" width="16.28515625" style="171" customWidth="1"/>
    <col min="2568" max="2568" width="12.7109375" style="171" customWidth="1"/>
    <col min="2569" max="2569" width="14.28515625" style="171" customWidth="1"/>
    <col min="2570" max="2573" width="12.7109375" style="171" customWidth="1"/>
    <col min="2574" max="2574" width="16.42578125" style="171" customWidth="1"/>
    <col min="2575" max="2816" width="11.42578125" style="171"/>
    <col min="2817" max="2817" width="42.140625" style="171" customWidth="1"/>
    <col min="2818" max="2818" width="16.140625" style="171" customWidth="1"/>
    <col min="2819" max="2819" width="12.7109375" style="171" customWidth="1"/>
    <col min="2820" max="2820" width="14.42578125" style="171" customWidth="1"/>
    <col min="2821" max="2822" width="12.7109375" style="171" customWidth="1"/>
    <col min="2823" max="2823" width="16.28515625" style="171" customWidth="1"/>
    <col min="2824" max="2824" width="12.7109375" style="171" customWidth="1"/>
    <col min="2825" max="2825" width="14.28515625" style="171" customWidth="1"/>
    <col min="2826" max="2829" width="12.7109375" style="171" customWidth="1"/>
    <col min="2830" max="2830" width="16.42578125" style="171" customWidth="1"/>
    <col min="2831" max="3072" width="11.42578125" style="171"/>
    <col min="3073" max="3073" width="42.140625" style="171" customWidth="1"/>
    <col min="3074" max="3074" width="16.140625" style="171" customWidth="1"/>
    <col min="3075" max="3075" width="12.7109375" style="171" customWidth="1"/>
    <col min="3076" max="3076" width="14.42578125" style="171" customWidth="1"/>
    <col min="3077" max="3078" width="12.7109375" style="171" customWidth="1"/>
    <col min="3079" max="3079" width="16.28515625" style="171" customWidth="1"/>
    <col min="3080" max="3080" width="12.7109375" style="171" customWidth="1"/>
    <col min="3081" max="3081" width="14.28515625" style="171" customWidth="1"/>
    <col min="3082" max="3085" width="12.7109375" style="171" customWidth="1"/>
    <col min="3086" max="3086" width="16.42578125" style="171" customWidth="1"/>
    <col min="3087" max="3328" width="11.42578125" style="171"/>
    <col min="3329" max="3329" width="42.140625" style="171" customWidth="1"/>
    <col min="3330" max="3330" width="16.140625" style="171" customWidth="1"/>
    <col min="3331" max="3331" width="12.7109375" style="171" customWidth="1"/>
    <col min="3332" max="3332" width="14.42578125" style="171" customWidth="1"/>
    <col min="3333" max="3334" width="12.7109375" style="171" customWidth="1"/>
    <col min="3335" max="3335" width="16.28515625" style="171" customWidth="1"/>
    <col min="3336" max="3336" width="12.7109375" style="171" customWidth="1"/>
    <col min="3337" max="3337" width="14.28515625" style="171" customWidth="1"/>
    <col min="3338" max="3341" width="12.7109375" style="171" customWidth="1"/>
    <col min="3342" max="3342" width="16.42578125" style="171" customWidth="1"/>
    <col min="3343" max="3584" width="11.42578125" style="171"/>
    <col min="3585" max="3585" width="42.140625" style="171" customWidth="1"/>
    <col min="3586" max="3586" width="16.140625" style="171" customWidth="1"/>
    <col min="3587" max="3587" width="12.7109375" style="171" customWidth="1"/>
    <col min="3588" max="3588" width="14.42578125" style="171" customWidth="1"/>
    <col min="3589" max="3590" width="12.7109375" style="171" customWidth="1"/>
    <col min="3591" max="3591" width="16.28515625" style="171" customWidth="1"/>
    <col min="3592" max="3592" width="12.7109375" style="171" customWidth="1"/>
    <col min="3593" max="3593" width="14.28515625" style="171" customWidth="1"/>
    <col min="3594" max="3597" width="12.7109375" style="171" customWidth="1"/>
    <col min="3598" max="3598" width="16.42578125" style="171" customWidth="1"/>
    <col min="3599" max="3840" width="11.42578125" style="171"/>
    <col min="3841" max="3841" width="42.140625" style="171" customWidth="1"/>
    <col min="3842" max="3842" width="16.140625" style="171" customWidth="1"/>
    <col min="3843" max="3843" width="12.7109375" style="171" customWidth="1"/>
    <col min="3844" max="3844" width="14.42578125" style="171" customWidth="1"/>
    <col min="3845" max="3846" width="12.7109375" style="171" customWidth="1"/>
    <col min="3847" max="3847" width="16.28515625" style="171" customWidth="1"/>
    <col min="3848" max="3848" width="12.7109375" style="171" customWidth="1"/>
    <col min="3849" max="3849" width="14.28515625" style="171" customWidth="1"/>
    <col min="3850" max="3853" width="12.7109375" style="171" customWidth="1"/>
    <col min="3854" max="3854" width="16.42578125" style="171" customWidth="1"/>
    <col min="3855" max="4096" width="11.42578125" style="171"/>
    <col min="4097" max="4097" width="42.140625" style="171" customWidth="1"/>
    <col min="4098" max="4098" width="16.140625" style="171" customWidth="1"/>
    <col min="4099" max="4099" width="12.7109375" style="171" customWidth="1"/>
    <col min="4100" max="4100" width="14.42578125" style="171" customWidth="1"/>
    <col min="4101" max="4102" width="12.7109375" style="171" customWidth="1"/>
    <col min="4103" max="4103" width="16.28515625" style="171" customWidth="1"/>
    <col min="4104" max="4104" width="12.7109375" style="171" customWidth="1"/>
    <col min="4105" max="4105" width="14.28515625" style="171" customWidth="1"/>
    <col min="4106" max="4109" width="12.7109375" style="171" customWidth="1"/>
    <col min="4110" max="4110" width="16.42578125" style="171" customWidth="1"/>
    <col min="4111" max="4352" width="11.42578125" style="171"/>
    <col min="4353" max="4353" width="42.140625" style="171" customWidth="1"/>
    <col min="4354" max="4354" width="16.140625" style="171" customWidth="1"/>
    <col min="4355" max="4355" width="12.7109375" style="171" customWidth="1"/>
    <col min="4356" max="4356" width="14.42578125" style="171" customWidth="1"/>
    <col min="4357" max="4358" width="12.7109375" style="171" customWidth="1"/>
    <col min="4359" max="4359" width="16.28515625" style="171" customWidth="1"/>
    <col min="4360" max="4360" width="12.7109375" style="171" customWidth="1"/>
    <col min="4361" max="4361" width="14.28515625" style="171" customWidth="1"/>
    <col min="4362" max="4365" width="12.7109375" style="171" customWidth="1"/>
    <col min="4366" max="4366" width="16.42578125" style="171" customWidth="1"/>
    <col min="4367" max="4608" width="11.42578125" style="171"/>
    <col min="4609" max="4609" width="42.140625" style="171" customWidth="1"/>
    <col min="4610" max="4610" width="16.140625" style="171" customWidth="1"/>
    <col min="4611" max="4611" width="12.7109375" style="171" customWidth="1"/>
    <col min="4612" max="4612" width="14.42578125" style="171" customWidth="1"/>
    <col min="4613" max="4614" width="12.7109375" style="171" customWidth="1"/>
    <col min="4615" max="4615" width="16.28515625" style="171" customWidth="1"/>
    <col min="4616" max="4616" width="12.7109375" style="171" customWidth="1"/>
    <col min="4617" max="4617" width="14.28515625" style="171" customWidth="1"/>
    <col min="4618" max="4621" width="12.7109375" style="171" customWidth="1"/>
    <col min="4622" max="4622" width="16.42578125" style="171" customWidth="1"/>
    <col min="4623" max="4864" width="11.42578125" style="171"/>
    <col min="4865" max="4865" width="42.140625" style="171" customWidth="1"/>
    <col min="4866" max="4866" width="16.140625" style="171" customWidth="1"/>
    <col min="4867" max="4867" width="12.7109375" style="171" customWidth="1"/>
    <col min="4868" max="4868" width="14.42578125" style="171" customWidth="1"/>
    <col min="4869" max="4870" width="12.7109375" style="171" customWidth="1"/>
    <col min="4871" max="4871" width="16.28515625" style="171" customWidth="1"/>
    <col min="4872" max="4872" width="12.7109375" style="171" customWidth="1"/>
    <col min="4873" max="4873" width="14.28515625" style="171" customWidth="1"/>
    <col min="4874" max="4877" width="12.7109375" style="171" customWidth="1"/>
    <col min="4878" max="4878" width="16.42578125" style="171" customWidth="1"/>
    <col min="4879" max="5120" width="11.42578125" style="171"/>
    <col min="5121" max="5121" width="42.140625" style="171" customWidth="1"/>
    <col min="5122" max="5122" width="16.140625" style="171" customWidth="1"/>
    <col min="5123" max="5123" width="12.7109375" style="171" customWidth="1"/>
    <col min="5124" max="5124" width="14.42578125" style="171" customWidth="1"/>
    <col min="5125" max="5126" width="12.7109375" style="171" customWidth="1"/>
    <col min="5127" max="5127" width="16.28515625" style="171" customWidth="1"/>
    <col min="5128" max="5128" width="12.7109375" style="171" customWidth="1"/>
    <col min="5129" max="5129" width="14.28515625" style="171" customWidth="1"/>
    <col min="5130" max="5133" width="12.7109375" style="171" customWidth="1"/>
    <col min="5134" max="5134" width="16.42578125" style="171" customWidth="1"/>
    <col min="5135" max="5376" width="11.42578125" style="171"/>
    <col min="5377" max="5377" width="42.140625" style="171" customWidth="1"/>
    <col min="5378" max="5378" width="16.140625" style="171" customWidth="1"/>
    <col min="5379" max="5379" width="12.7109375" style="171" customWidth="1"/>
    <col min="5380" max="5380" width="14.42578125" style="171" customWidth="1"/>
    <col min="5381" max="5382" width="12.7109375" style="171" customWidth="1"/>
    <col min="5383" max="5383" width="16.28515625" style="171" customWidth="1"/>
    <col min="5384" max="5384" width="12.7109375" style="171" customWidth="1"/>
    <col min="5385" max="5385" width="14.28515625" style="171" customWidth="1"/>
    <col min="5386" max="5389" width="12.7109375" style="171" customWidth="1"/>
    <col min="5390" max="5390" width="16.42578125" style="171" customWidth="1"/>
    <col min="5391" max="5632" width="11.42578125" style="171"/>
    <col min="5633" max="5633" width="42.140625" style="171" customWidth="1"/>
    <col min="5634" max="5634" width="16.140625" style="171" customWidth="1"/>
    <col min="5635" max="5635" width="12.7109375" style="171" customWidth="1"/>
    <col min="5636" max="5636" width="14.42578125" style="171" customWidth="1"/>
    <col min="5637" max="5638" width="12.7109375" style="171" customWidth="1"/>
    <col min="5639" max="5639" width="16.28515625" style="171" customWidth="1"/>
    <col min="5640" max="5640" width="12.7109375" style="171" customWidth="1"/>
    <col min="5641" max="5641" width="14.28515625" style="171" customWidth="1"/>
    <col min="5642" max="5645" width="12.7109375" style="171" customWidth="1"/>
    <col min="5646" max="5646" width="16.42578125" style="171" customWidth="1"/>
    <col min="5647" max="5888" width="11.42578125" style="171"/>
    <col min="5889" max="5889" width="42.140625" style="171" customWidth="1"/>
    <col min="5890" max="5890" width="16.140625" style="171" customWidth="1"/>
    <col min="5891" max="5891" width="12.7109375" style="171" customWidth="1"/>
    <col min="5892" max="5892" width="14.42578125" style="171" customWidth="1"/>
    <col min="5893" max="5894" width="12.7109375" style="171" customWidth="1"/>
    <col min="5895" max="5895" width="16.28515625" style="171" customWidth="1"/>
    <col min="5896" max="5896" width="12.7109375" style="171" customWidth="1"/>
    <col min="5897" max="5897" width="14.28515625" style="171" customWidth="1"/>
    <col min="5898" max="5901" width="12.7109375" style="171" customWidth="1"/>
    <col min="5902" max="5902" width="16.42578125" style="171" customWidth="1"/>
    <col min="5903" max="6144" width="11.42578125" style="171"/>
    <col min="6145" max="6145" width="42.140625" style="171" customWidth="1"/>
    <col min="6146" max="6146" width="16.140625" style="171" customWidth="1"/>
    <col min="6147" max="6147" width="12.7109375" style="171" customWidth="1"/>
    <col min="6148" max="6148" width="14.42578125" style="171" customWidth="1"/>
    <col min="6149" max="6150" width="12.7109375" style="171" customWidth="1"/>
    <col min="6151" max="6151" width="16.28515625" style="171" customWidth="1"/>
    <col min="6152" max="6152" width="12.7109375" style="171" customWidth="1"/>
    <col min="6153" max="6153" width="14.28515625" style="171" customWidth="1"/>
    <col min="6154" max="6157" width="12.7109375" style="171" customWidth="1"/>
    <col min="6158" max="6158" width="16.42578125" style="171" customWidth="1"/>
    <col min="6159" max="6400" width="11.42578125" style="171"/>
    <col min="6401" max="6401" width="42.140625" style="171" customWidth="1"/>
    <col min="6402" max="6402" width="16.140625" style="171" customWidth="1"/>
    <col min="6403" max="6403" width="12.7109375" style="171" customWidth="1"/>
    <col min="6404" max="6404" width="14.42578125" style="171" customWidth="1"/>
    <col min="6405" max="6406" width="12.7109375" style="171" customWidth="1"/>
    <col min="6407" max="6407" width="16.28515625" style="171" customWidth="1"/>
    <col min="6408" max="6408" width="12.7109375" style="171" customWidth="1"/>
    <col min="6409" max="6409" width="14.28515625" style="171" customWidth="1"/>
    <col min="6410" max="6413" width="12.7109375" style="171" customWidth="1"/>
    <col min="6414" max="6414" width="16.42578125" style="171" customWidth="1"/>
    <col min="6415" max="6656" width="11.42578125" style="171"/>
    <col min="6657" max="6657" width="42.140625" style="171" customWidth="1"/>
    <col min="6658" max="6658" width="16.140625" style="171" customWidth="1"/>
    <col min="6659" max="6659" width="12.7109375" style="171" customWidth="1"/>
    <col min="6660" max="6660" width="14.42578125" style="171" customWidth="1"/>
    <col min="6661" max="6662" width="12.7109375" style="171" customWidth="1"/>
    <col min="6663" max="6663" width="16.28515625" style="171" customWidth="1"/>
    <col min="6664" max="6664" width="12.7109375" style="171" customWidth="1"/>
    <col min="6665" max="6665" width="14.28515625" style="171" customWidth="1"/>
    <col min="6666" max="6669" width="12.7109375" style="171" customWidth="1"/>
    <col min="6670" max="6670" width="16.42578125" style="171" customWidth="1"/>
    <col min="6671" max="6912" width="11.42578125" style="171"/>
    <col min="6913" max="6913" width="42.140625" style="171" customWidth="1"/>
    <col min="6914" max="6914" width="16.140625" style="171" customWidth="1"/>
    <col min="6915" max="6915" width="12.7109375" style="171" customWidth="1"/>
    <col min="6916" max="6916" width="14.42578125" style="171" customWidth="1"/>
    <col min="6917" max="6918" width="12.7109375" style="171" customWidth="1"/>
    <col min="6919" max="6919" width="16.28515625" style="171" customWidth="1"/>
    <col min="6920" max="6920" width="12.7109375" style="171" customWidth="1"/>
    <col min="6921" max="6921" width="14.28515625" style="171" customWidth="1"/>
    <col min="6922" max="6925" width="12.7109375" style="171" customWidth="1"/>
    <col min="6926" max="6926" width="16.42578125" style="171" customWidth="1"/>
    <col min="6927" max="7168" width="11.42578125" style="171"/>
    <col min="7169" max="7169" width="42.140625" style="171" customWidth="1"/>
    <col min="7170" max="7170" width="16.140625" style="171" customWidth="1"/>
    <col min="7171" max="7171" width="12.7109375" style="171" customWidth="1"/>
    <col min="7172" max="7172" width="14.42578125" style="171" customWidth="1"/>
    <col min="7173" max="7174" width="12.7109375" style="171" customWidth="1"/>
    <col min="7175" max="7175" width="16.28515625" style="171" customWidth="1"/>
    <col min="7176" max="7176" width="12.7109375" style="171" customWidth="1"/>
    <col min="7177" max="7177" width="14.28515625" style="171" customWidth="1"/>
    <col min="7178" max="7181" width="12.7109375" style="171" customWidth="1"/>
    <col min="7182" max="7182" width="16.42578125" style="171" customWidth="1"/>
    <col min="7183" max="7424" width="11.42578125" style="171"/>
    <col min="7425" max="7425" width="42.140625" style="171" customWidth="1"/>
    <col min="7426" max="7426" width="16.140625" style="171" customWidth="1"/>
    <col min="7427" max="7427" width="12.7109375" style="171" customWidth="1"/>
    <col min="7428" max="7428" width="14.42578125" style="171" customWidth="1"/>
    <col min="7429" max="7430" width="12.7109375" style="171" customWidth="1"/>
    <col min="7431" max="7431" width="16.28515625" style="171" customWidth="1"/>
    <col min="7432" max="7432" width="12.7109375" style="171" customWidth="1"/>
    <col min="7433" max="7433" width="14.28515625" style="171" customWidth="1"/>
    <col min="7434" max="7437" width="12.7109375" style="171" customWidth="1"/>
    <col min="7438" max="7438" width="16.42578125" style="171" customWidth="1"/>
    <col min="7439" max="7680" width="11.42578125" style="171"/>
    <col min="7681" max="7681" width="42.140625" style="171" customWidth="1"/>
    <col min="7682" max="7682" width="16.140625" style="171" customWidth="1"/>
    <col min="7683" max="7683" width="12.7109375" style="171" customWidth="1"/>
    <col min="7684" max="7684" width="14.42578125" style="171" customWidth="1"/>
    <col min="7685" max="7686" width="12.7109375" style="171" customWidth="1"/>
    <col min="7687" max="7687" width="16.28515625" style="171" customWidth="1"/>
    <col min="7688" max="7688" width="12.7109375" style="171" customWidth="1"/>
    <col min="7689" max="7689" width="14.28515625" style="171" customWidth="1"/>
    <col min="7690" max="7693" width="12.7109375" style="171" customWidth="1"/>
    <col min="7694" max="7694" width="16.42578125" style="171" customWidth="1"/>
    <col min="7695" max="7936" width="11.42578125" style="171"/>
    <col min="7937" max="7937" width="42.140625" style="171" customWidth="1"/>
    <col min="7938" max="7938" width="16.140625" style="171" customWidth="1"/>
    <col min="7939" max="7939" width="12.7109375" style="171" customWidth="1"/>
    <col min="7940" max="7940" width="14.42578125" style="171" customWidth="1"/>
    <col min="7941" max="7942" width="12.7109375" style="171" customWidth="1"/>
    <col min="7943" max="7943" width="16.28515625" style="171" customWidth="1"/>
    <col min="7944" max="7944" width="12.7109375" style="171" customWidth="1"/>
    <col min="7945" max="7945" width="14.28515625" style="171" customWidth="1"/>
    <col min="7946" max="7949" width="12.7109375" style="171" customWidth="1"/>
    <col min="7950" max="7950" width="16.42578125" style="171" customWidth="1"/>
    <col min="7951" max="8192" width="11.42578125" style="171"/>
    <col min="8193" max="8193" width="42.140625" style="171" customWidth="1"/>
    <col min="8194" max="8194" width="16.140625" style="171" customWidth="1"/>
    <col min="8195" max="8195" width="12.7109375" style="171" customWidth="1"/>
    <col min="8196" max="8196" width="14.42578125" style="171" customWidth="1"/>
    <col min="8197" max="8198" width="12.7109375" style="171" customWidth="1"/>
    <col min="8199" max="8199" width="16.28515625" style="171" customWidth="1"/>
    <col min="8200" max="8200" width="12.7109375" style="171" customWidth="1"/>
    <col min="8201" max="8201" width="14.28515625" style="171" customWidth="1"/>
    <col min="8202" max="8205" width="12.7109375" style="171" customWidth="1"/>
    <col min="8206" max="8206" width="16.42578125" style="171" customWidth="1"/>
    <col min="8207" max="8448" width="11.42578125" style="171"/>
    <col min="8449" max="8449" width="42.140625" style="171" customWidth="1"/>
    <col min="8450" max="8450" width="16.140625" style="171" customWidth="1"/>
    <col min="8451" max="8451" width="12.7109375" style="171" customWidth="1"/>
    <col min="8452" max="8452" width="14.42578125" style="171" customWidth="1"/>
    <col min="8453" max="8454" width="12.7109375" style="171" customWidth="1"/>
    <col min="8455" max="8455" width="16.28515625" style="171" customWidth="1"/>
    <col min="8456" max="8456" width="12.7109375" style="171" customWidth="1"/>
    <col min="8457" max="8457" width="14.28515625" style="171" customWidth="1"/>
    <col min="8458" max="8461" width="12.7109375" style="171" customWidth="1"/>
    <col min="8462" max="8462" width="16.42578125" style="171" customWidth="1"/>
    <col min="8463" max="8704" width="11.42578125" style="171"/>
    <col min="8705" max="8705" width="42.140625" style="171" customWidth="1"/>
    <col min="8706" max="8706" width="16.140625" style="171" customWidth="1"/>
    <col min="8707" max="8707" width="12.7109375" style="171" customWidth="1"/>
    <col min="8708" max="8708" width="14.42578125" style="171" customWidth="1"/>
    <col min="8709" max="8710" width="12.7109375" style="171" customWidth="1"/>
    <col min="8711" max="8711" width="16.28515625" style="171" customWidth="1"/>
    <col min="8712" max="8712" width="12.7109375" style="171" customWidth="1"/>
    <col min="8713" max="8713" width="14.28515625" style="171" customWidth="1"/>
    <col min="8714" max="8717" width="12.7109375" style="171" customWidth="1"/>
    <col min="8718" max="8718" width="16.42578125" style="171" customWidth="1"/>
    <col min="8719" max="8960" width="11.42578125" style="171"/>
    <col min="8961" max="8961" width="42.140625" style="171" customWidth="1"/>
    <col min="8962" max="8962" width="16.140625" style="171" customWidth="1"/>
    <col min="8963" max="8963" width="12.7109375" style="171" customWidth="1"/>
    <col min="8964" max="8964" width="14.42578125" style="171" customWidth="1"/>
    <col min="8965" max="8966" width="12.7109375" style="171" customWidth="1"/>
    <col min="8967" max="8967" width="16.28515625" style="171" customWidth="1"/>
    <col min="8968" max="8968" width="12.7109375" style="171" customWidth="1"/>
    <col min="8969" max="8969" width="14.28515625" style="171" customWidth="1"/>
    <col min="8970" max="8973" width="12.7109375" style="171" customWidth="1"/>
    <col min="8974" max="8974" width="16.42578125" style="171" customWidth="1"/>
    <col min="8975" max="9216" width="11.42578125" style="171"/>
    <col min="9217" max="9217" width="42.140625" style="171" customWidth="1"/>
    <col min="9218" max="9218" width="16.140625" style="171" customWidth="1"/>
    <col min="9219" max="9219" width="12.7109375" style="171" customWidth="1"/>
    <col min="9220" max="9220" width="14.42578125" style="171" customWidth="1"/>
    <col min="9221" max="9222" width="12.7109375" style="171" customWidth="1"/>
    <col min="9223" max="9223" width="16.28515625" style="171" customWidth="1"/>
    <col min="9224" max="9224" width="12.7109375" style="171" customWidth="1"/>
    <col min="9225" max="9225" width="14.28515625" style="171" customWidth="1"/>
    <col min="9226" max="9229" width="12.7109375" style="171" customWidth="1"/>
    <col min="9230" max="9230" width="16.42578125" style="171" customWidth="1"/>
    <col min="9231" max="9472" width="11.42578125" style="171"/>
    <col min="9473" max="9473" width="42.140625" style="171" customWidth="1"/>
    <col min="9474" max="9474" width="16.140625" style="171" customWidth="1"/>
    <col min="9475" max="9475" width="12.7109375" style="171" customWidth="1"/>
    <col min="9476" max="9476" width="14.42578125" style="171" customWidth="1"/>
    <col min="9477" max="9478" width="12.7109375" style="171" customWidth="1"/>
    <col min="9479" max="9479" width="16.28515625" style="171" customWidth="1"/>
    <col min="9480" max="9480" width="12.7109375" style="171" customWidth="1"/>
    <col min="9481" max="9481" width="14.28515625" style="171" customWidth="1"/>
    <col min="9482" max="9485" width="12.7109375" style="171" customWidth="1"/>
    <col min="9486" max="9486" width="16.42578125" style="171" customWidth="1"/>
    <col min="9487" max="9728" width="11.42578125" style="171"/>
    <col min="9729" max="9729" width="42.140625" style="171" customWidth="1"/>
    <col min="9730" max="9730" width="16.140625" style="171" customWidth="1"/>
    <col min="9731" max="9731" width="12.7109375" style="171" customWidth="1"/>
    <col min="9732" max="9732" width="14.42578125" style="171" customWidth="1"/>
    <col min="9733" max="9734" width="12.7109375" style="171" customWidth="1"/>
    <col min="9735" max="9735" width="16.28515625" style="171" customWidth="1"/>
    <col min="9736" max="9736" width="12.7109375" style="171" customWidth="1"/>
    <col min="9737" max="9737" width="14.28515625" style="171" customWidth="1"/>
    <col min="9738" max="9741" width="12.7109375" style="171" customWidth="1"/>
    <col min="9742" max="9742" width="16.42578125" style="171" customWidth="1"/>
    <col min="9743" max="9984" width="11.42578125" style="171"/>
    <col min="9985" max="9985" width="42.140625" style="171" customWidth="1"/>
    <col min="9986" max="9986" width="16.140625" style="171" customWidth="1"/>
    <col min="9987" max="9987" width="12.7109375" style="171" customWidth="1"/>
    <col min="9988" max="9988" width="14.42578125" style="171" customWidth="1"/>
    <col min="9989" max="9990" width="12.7109375" style="171" customWidth="1"/>
    <col min="9991" max="9991" width="16.28515625" style="171" customWidth="1"/>
    <col min="9992" max="9992" width="12.7109375" style="171" customWidth="1"/>
    <col min="9993" max="9993" width="14.28515625" style="171" customWidth="1"/>
    <col min="9994" max="9997" width="12.7109375" style="171" customWidth="1"/>
    <col min="9998" max="9998" width="16.42578125" style="171" customWidth="1"/>
    <col min="9999" max="10240" width="11.42578125" style="171"/>
    <col min="10241" max="10241" width="42.140625" style="171" customWidth="1"/>
    <col min="10242" max="10242" width="16.140625" style="171" customWidth="1"/>
    <col min="10243" max="10243" width="12.7109375" style="171" customWidth="1"/>
    <col min="10244" max="10244" width="14.42578125" style="171" customWidth="1"/>
    <col min="10245" max="10246" width="12.7109375" style="171" customWidth="1"/>
    <col min="10247" max="10247" width="16.28515625" style="171" customWidth="1"/>
    <col min="10248" max="10248" width="12.7109375" style="171" customWidth="1"/>
    <col min="10249" max="10249" width="14.28515625" style="171" customWidth="1"/>
    <col min="10250" max="10253" width="12.7109375" style="171" customWidth="1"/>
    <col min="10254" max="10254" width="16.42578125" style="171" customWidth="1"/>
    <col min="10255" max="10496" width="11.42578125" style="171"/>
    <col min="10497" max="10497" width="42.140625" style="171" customWidth="1"/>
    <col min="10498" max="10498" width="16.140625" style="171" customWidth="1"/>
    <col min="10499" max="10499" width="12.7109375" style="171" customWidth="1"/>
    <col min="10500" max="10500" width="14.42578125" style="171" customWidth="1"/>
    <col min="10501" max="10502" width="12.7109375" style="171" customWidth="1"/>
    <col min="10503" max="10503" width="16.28515625" style="171" customWidth="1"/>
    <col min="10504" max="10504" width="12.7109375" style="171" customWidth="1"/>
    <col min="10505" max="10505" width="14.28515625" style="171" customWidth="1"/>
    <col min="10506" max="10509" width="12.7109375" style="171" customWidth="1"/>
    <col min="10510" max="10510" width="16.42578125" style="171" customWidth="1"/>
    <col min="10511" max="10752" width="11.42578125" style="171"/>
    <col min="10753" max="10753" width="42.140625" style="171" customWidth="1"/>
    <col min="10754" max="10754" width="16.140625" style="171" customWidth="1"/>
    <col min="10755" max="10755" width="12.7109375" style="171" customWidth="1"/>
    <col min="10756" max="10756" width="14.42578125" style="171" customWidth="1"/>
    <col min="10757" max="10758" width="12.7109375" style="171" customWidth="1"/>
    <col min="10759" max="10759" width="16.28515625" style="171" customWidth="1"/>
    <col min="10760" max="10760" width="12.7109375" style="171" customWidth="1"/>
    <col min="10761" max="10761" width="14.28515625" style="171" customWidth="1"/>
    <col min="10762" max="10765" width="12.7109375" style="171" customWidth="1"/>
    <col min="10766" max="10766" width="16.42578125" style="171" customWidth="1"/>
    <col min="10767" max="11008" width="11.42578125" style="171"/>
    <col min="11009" max="11009" width="42.140625" style="171" customWidth="1"/>
    <col min="11010" max="11010" width="16.140625" style="171" customWidth="1"/>
    <col min="11011" max="11011" width="12.7109375" style="171" customWidth="1"/>
    <col min="11012" max="11012" width="14.42578125" style="171" customWidth="1"/>
    <col min="11013" max="11014" width="12.7109375" style="171" customWidth="1"/>
    <col min="11015" max="11015" width="16.28515625" style="171" customWidth="1"/>
    <col min="11016" max="11016" width="12.7109375" style="171" customWidth="1"/>
    <col min="11017" max="11017" width="14.28515625" style="171" customWidth="1"/>
    <col min="11018" max="11021" width="12.7109375" style="171" customWidth="1"/>
    <col min="11022" max="11022" width="16.42578125" style="171" customWidth="1"/>
    <col min="11023" max="11264" width="11.42578125" style="171"/>
    <col min="11265" max="11265" width="42.140625" style="171" customWidth="1"/>
    <col min="11266" max="11266" width="16.140625" style="171" customWidth="1"/>
    <col min="11267" max="11267" width="12.7109375" style="171" customWidth="1"/>
    <col min="11268" max="11268" width="14.42578125" style="171" customWidth="1"/>
    <col min="11269" max="11270" width="12.7109375" style="171" customWidth="1"/>
    <col min="11271" max="11271" width="16.28515625" style="171" customWidth="1"/>
    <col min="11272" max="11272" width="12.7109375" style="171" customWidth="1"/>
    <col min="11273" max="11273" width="14.28515625" style="171" customWidth="1"/>
    <col min="11274" max="11277" width="12.7109375" style="171" customWidth="1"/>
    <col min="11278" max="11278" width="16.42578125" style="171" customWidth="1"/>
    <col min="11279" max="11520" width="11.42578125" style="171"/>
    <col min="11521" max="11521" width="42.140625" style="171" customWidth="1"/>
    <col min="11522" max="11522" width="16.140625" style="171" customWidth="1"/>
    <col min="11523" max="11523" width="12.7109375" style="171" customWidth="1"/>
    <col min="11524" max="11524" width="14.42578125" style="171" customWidth="1"/>
    <col min="11525" max="11526" width="12.7109375" style="171" customWidth="1"/>
    <col min="11527" max="11527" width="16.28515625" style="171" customWidth="1"/>
    <col min="11528" max="11528" width="12.7109375" style="171" customWidth="1"/>
    <col min="11529" max="11529" width="14.28515625" style="171" customWidth="1"/>
    <col min="11530" max="11533" width="12.7109375" style="171" customWidth="1"/>
    <col min="11534" max="11534" width="16.42578125" style="171" customWidth="1"/>
    <col min="11535" max="11776" width="11.42578125" style="171"/>
    <col min="11777" max="11777" width="42.140625" style="171" customWidth="1"/>
    <col min="11778" max="11778" width="16.140625" style="171" customWidth="1"/>
    <col min="11779" max="11779" width="12.7109375" style="171" customWidth="1"/>
    <col min="11780" max="11780" width="14.42578125" style="171" customWidth="1"/>
    <col min="11781" max="11782" width="12.7109375" style="171" customWidth="1"/>
    <col min="11783" max="11783" width="16.28515625" style="171" customWidth="1"/>
    <col min="11784" max="11784" width="12.7109375" style="171" customWidth="1"/>
    <col min="11785" max="11785" width="14.28515625" style="171" customWidth="1"/>
    <col min="11786" max="11789" width="12.7109375" style="171" customWidth="1"/>
    <col min="11790" max="11790" width="16.42578125" style="171" customWidth="1"/>
    <col min="11791" max="12032" width="11.42578125" style="171"/>
    <col min="12033" max="12033" width="42.140625" style="171" customWidth="1"/>
    <col min="12034" max="12034" width="16.140625" style="171" customWidth="1"/>
    <col min="12035" max="12035" width="12.7109375" style="171" customWidth="1"/>
    <col min="12036" max="12036" width="14.42578125" style="171" customWidth="1"/>
    <col min="12037" max="12038" width="12.7109375" style="171" customWidth="1"/>
    <col min="12039" max="12039" width="16.28515625" style="171" customWidth="1"/>
    <col min="12040" max="12040" width="12.7109375" style="171" customWidth="1"/>
    <col min="12041" max="12041" width="14.28515625" style="171" customWidth="1"/>
    <col min="12042" max="12045" width="12.7109375" style="171" customWidth="1"/>
    <col min="12046" max="12046" width="16.42578125" style="171" customWidth="1"/>
    <col min="12047" max="12288" width="11.42578125" style="171"/>
    <col min="12289" max="12289" width="42.140625" style="171" customWidth="1"/>
    <col min="12290" max="12290" width="16.140625" style="171" customWidth="1"/>
    <col min="12291" max="12291" width="12.7109375" style="171" customWidth="1"/>
    <col min="12292" max="12292" width="14.42578125" style="171" customWidth="1"/>
    <col min="12293" max="12294" width="12.7109375" style="171" customWidth="1"/>
    <col min="12295" max="12295" width="16.28515625" style="171" customWidth="1"/>
    <col min="12296" max="12296" width="12.7109375" style="171" customWidth="1"/>
    <col min="12297" max="12297" width="14.28515625" style="171" customWidth="1"/>
    <col min="12298" max="12301" width="12.7109375" style="171" customWidth="1"/>
    <col min="12302" max="12302" width="16.42578125" style="171" customWidth="1"/>
    <col min="12303" max="12544" width="11.42578125" style="171"/>
    <col min="12545" max="12545" width="42.140625" style="171" customWidth="1"/>
    <col min="12546" max="12546" width="16.140625" style="171" customWidth="1"/>
    <col min="12547" max="12547" width="12.7109375" style="171" customWidth="1"/>
    <col min="12548" max="12548" width="14.42578125" style="171" customWidth="1"/>
    <col min="12549" max="12550" width="12.7109375" style="171" customWidth="1"/>
    <col min="12551" max="12551" width="16.28515625" style="171" customWidth="1"/>
    <col min="12552" max="12552" width="12.7109375" style="171" customWidth="1"/>
    <col min="12553" max="12553" width="14.28515625" style="171" customWidth="1"/>
    <col min="12554" max="12557" width="12.7109375" style="171" customWidth="1"/>
    <col min="12558" max="12558" width="16.42578125" style="171" customWidth="1"/>
    <col min="12559" max="12800" width="11.42578125" style="171"/>
    <col min="12801" max="12801" width="42.140625" style="171" customWidth="1"/>
    <col min="12802" max="12802" width="16.140625" style="171" customWidth="1"/>
    <col min="12803" max="12803" width="12.7109375" style="171" customWidth="1"/>
    <col min="12804" max="12804" width="14.42578125" style="171" customWidth="1"/>
    <col min="12805" max="12806" width="12.7109375" style="171" customWidth="1"/>
    <col min="12807" max="12807" width="16.28515625" style="171" customWidth="1"/>
    <col min="12808" max="12808" width="12.7109375" style="171" customWidth="1"/>
    <col min="12809" max="12809" width="14.28515625" style="171" customWidth="1"/>
    <col min="12810" max="12813" width="12.7109375" style="171" customWidth="1"/>
    <col min="12814" max="12814" width="16.42578125" style="171" customWidth="1"/>
    <col min="12815" max="13056" width="11.42578125" style="171"/>
    <col min="13057" max="13057" width="42.140625" style="171" customWidth="1"/>
    <col min="13058" max="13058" width="16.140625" style="171" customWidth="1"/>
    <col min="13059" max="13059" width="12.7109375" style="171" customWidth="1"/>
    <col min="13060" max="13060" width="14.42578125" style="171" customWidth="1"/>
    <col min="13061" max="13062" width="12.7109375" style="171" customWidth="1"/>
    <col min="13063" max="13063" width="16.28515625" style="171" customWidth="1"/>
    <col min="13064" max="13064" width="12.7109375" style="171" customWidth="1"/>
    <col min="13065" max="13065" width="14.28515625" style="171" customWidth="1"/>
    <col min="13066" max="13069" width="12.7109375" style="171" customWidth="1"/>
    <col min="13070" max="13070" width="16.42578125" style="171" customWidth="1"/>
    <col min="13071" max="13312" width="11.42578125" style="171"/>
    <col min="13313" max="13313" width="42.140625" style="171" customWidth="1"/>
    <col min="13314" max="13314" width="16.140625" style="171" customWidth="1"/>
    <col min="13315" max="13315" width="12.7109375" style="171" customWidth="1"/>
    <col min="13316" max="13316" width="14.42578125" style="171" customWidth="1"/>
    <col min="13317" max="13318" width="12.7109375" style="171" customWidth="1"/>
    <col min="13319" max="13319" width="16.28515625" style="171" customWidth="1"/>
    <col min="13320" max="13320" width="12.7109375" style="171" customWidth="1"/>
    <col min="13321" max="13321" width="14.28515625" style="171" customWidth="1"/>
    <col min="13322" max="13325" width="12.7109375" style="171" customWidth="1"/>
    <col min="13326" max="13326" width="16.42578125" style="171" customWidth="1"/>
    <col min="13327" max="13568" width="11.42578125" style="171"/>
    <col min="13569" max="13569" width="42.140625" style="171" customWidth="1"/>
    <col min="13570" max="13570" width="16.140625" style="171" customWidth="1"/>
    <col min="13571" max="13571" width="12.7109375" style="171" customWidth="1"/>
    <col min="13572" max="13572" width="14.42578125" style="171" customWidth="1"/>
    <col min="13573" max="13574" width="12.7109375" style="171" customWidth="1"/>
    <col min="13575" max="13575" width="16.28515625" style="171" customWidth="1"/>
    <col min="13576" max="13576" width="12.7109375" style="171" customWidth="1"/>
    <col min="13577" max="13577" width="14.28515625" style="171" customWidth="1"/>
    <col min="13578" max="13581" width="12.7109375" style="171" customWidth="1"/>
    <col min="13582" max="13582" width="16.42578125" style="171" customWidth="1"/>
    <col min="13583" max="13824" width="11.42578125" style="171"/>
    <col min="13825" max="13825" width="42.140625" style="171" customWidth="1"/>
    <col min="13826" max="13826" width="16.140625" style="171" customWidth="1"/>
    <col min="13827" max="13827" width="12.7109375" style="171" customWidth="1"/>
    <col min="13828" max="13828" width="14.42578125" style="171" customWidth="1"/>
    <col min="13829" max="13830" width="12.7109375" style="171" customWidth="1"/>
    <col min="13831" max="13831" width="16.28515625" style="171" customWidth="1"/>
    <col min="13832" max="13832" width="12.7109375" style="171" customWidth="1"/>
    <col min="13833" max="13833" width="14.28515625" style="171" customWidth="1"/>
    <col min="13834" max="13837" width="12.7109375" style="171" customWidth="1"/>
    <col min="13838" max="13838" width="16.42578125" style="171" customWidth="1"/>
    <col min="13839" max="14080" width="11.42578125" style="171"/>
    <col min="14081" max="14081" width="42.140625" style="171" customWidth="1"/>
    <col min="14082" max="14082" width="16.140625" style="171" customWidth="1"/>
    <col min="14083" max="14083" width="12.7109375" style="171" customWidth="1"/>
    <col min="14084" max="14084" width="14.42578125" style="171" customWidth="1"/>
    <col min="14085" max="14086" width="12.7109375" style="171" customWidth="1"/>
    <col min="14087" max="14087" width="16.28515625" style="171" customWidth="1"/>
    <col min="14088" max="14088" width="12.7109375" style="171" customWidth="1"/>
    <col min="14089" max="14089" width="14.28515625" style="171" customWidth="1"/>
    <col min="14090" max="14093" width="12.7109375" style="171" customWidth="1"/>
    <col min="14094" max="14094" width="16.42578125" style="171" customWidth="1"/>
    <col min="14095" max="14336" width="11.42578125" style="171"/>
    <col min="14337" max="14337" width="42.140625" style="171" customWidth="1"/>
    <col min="14338" max="14338" width="16.140625" style="171" customWidth="1"/>
    <col min="14339" max="14339" width="12.7109375" style="171" customWidth="1"/>
    <col min="14340" max="14340" width="14.42578125" style="171" customWidth="1"/>
    <col min="14341" max="14342" width="12.7109375" style="171" customWidth="1"/>
    <col min="14343" max="14343" width="16.28515625" style="171" customWidth="1"/>
    <col min="14344" max="14344" width="12.7109375" style="171" customWidth="1"/>
    <col min="14345" max="14345" width="14.28515625" style="171" customWidth="1"/>
    <col min="14346" max="14349" width="12.7109375" style="171" customWidth="1"/>
    <col min="14350" max="14350" width="16.42578125" style="171" customWidth="1"/>
    <col min="14351" max="14592" width="11.42578125" style="171"/>
    <col min="14593" max="14593" width="42.140625" style="171" customWidth="1"/>
    <col min="14594" max="14594" width="16.140625" style="171" customWidth="1"/>
    <col min="14595" max="14595" width="12.7109375" style="171" customWidth="1"/>
    <col min="14596" max="14596" width="14.42578125" style="171" customWidth="1"/>
    <col min="14597" max="14598" width="12.7109375" style="171" customWidth="1"/>
    <col min="14599" max="14599" width="16.28515625" style="171" customWidth="1"/>
    <col min="14600" max="14600" width="12.7109375" style="171" customWidth="1"/>
    <col min="14601" max="14601" width="14.28515625" style="171" customWidth="1"/>
    <col min="14602" max="14605" width="12.7109375" style="171" customWidth="1"/>
    <col min="14606" max="14606" width="16.42578125" style="171" customWidth="1"/>
    <col min="14607" max="14848" width="11.42578125" style="171"/>
    <col min="14849" max="14849" width="42.140625" style="171" customWidth="1"/>
    <col min="14850" max="14850" width="16.140625" style="171" customWidth="1"/>
    <col min="14851" max="14851" width="12.7109375" style="171" customWidth="1"/>
    <col min="14852" max="14852" width="14.42578125" style="171" customWidth="1"/>
    <col min="14853" max="14854" width="12.7109375" style="171" customWidth="1"/>
    <col min="14855" max="14855" width="16.28515625" style="171" customWidth="1"/>
    <col min="14856" max="14856" width="12.7109375" style="171" customWidth="1"/>
    <col min="14857" max="14857" width="14.28515625" style="171" customWidth="1"/>
    <col min="14858" max="14861" width="12.7109375" style="171" customWidth="1"/>
    <col min="14862" max="14862" width="16.42578125" style="171" customWidth="1"/>
    <col min="14863" max="15104" width="11.42578125" style="171"/>
    <col min="15105" max="15105" width="42.140625" style="171" customWidth="1"/>
    <col min="15106" max="15106" width="16.140625" style="171" customWidth="1"/>
    <col min="15107" max="15107" width="12.7109375" style="171" customWidth="1"/>
    <col min="15108" max="15108" width="14.42578125" style="171" customWidth="1"/>
    <col min="15109" max="15110" width="12.7109375" style="171" customWidth="1"/>
    <col min="15111" max="15111" width="16.28515625" style="171" customWidth="1"/>
    <col min="15112" max="15112" width="12.7109375" style="171" customWidth="1"/>
    <col min="15113" max="15113" width="14.28515625" style="171" customWidth="1"/>
    <col min="15114" max="15117" width="12.7109375" style="171" customWidth="1"/>
    <col min="15118" max="15118" width="16.42578125" style="171" customWidth="1"/>
    <col min="15119" max="15360" width="11.42578125" style="171"/>
    <col min="15361" max="15361" width="42.140625" style="171" customWidth="1"/>
    <col min="15362" max="15362" width="16.140625" style="171" customWidth="1"/>
    <col min="15363" max="15363" width="12.7109375" style="171" customWidth="1"/>
    <col min="15364" max="15364" width="14.42578125" style="171" customWidth="1"/>
    <col min="15365" max="15366" width="12.7109375" style="171" customWidth="1"/>
    <col min="15367" max="15367" width="16.28515625" style="171" customWidth="1"/>
    <col min="15368" max="15368" width="12.7109375" style="171" customWidth="1"/>
    <col min="15369" max="15369" width="14.28515625" style="171" customWidth="1"/>
    <col min="15370" max="15373" width="12.7109375" style="171" customWidth="1"/>
    <col min="15374" max="15374" width="16.42578125" style="171" customWidth="1"/>
    <col min="15375" max="15616" width="11.42578125" style="171"/>
    <col min="15617" max="15617" width="42.140625" style="171" customWidth="1"/>
    <col min="15618" max="15618" width="16.140625" style="171" customWidth="1"/>
    <col min="15619" max="15619" width="12.7109375" style="171" customWidth="1"/>
    <col min="15620" max="15620" width="14.42578125" style="171" customWidth="1"/>
    <col min="15621" max="15622" width="12.7109375" style="171" customWidth="1"/>
    <col min="15623" max="15623" width="16.28515625" style="171" customWidth="1"/>
    <col min="15624" max="15624" width="12.7109375" style="171" customWidth="1"/>
    <col min="15625" max="15625" width="14.28515625" style="171" customWidth="1"/>
    <col min="15626" max="15629" width="12.7109375" style="171" customWidth="1"/>
    <col min="15630" max="15630" width="16.42578125" style="171" customWidth="1"/>
    <col min="15631" max="15872" width="11.42578125" style="171"/>
    <col min="15873" max="15873" width="42.140625" style="171" customWidth="1"/>
    <col min="15874" max="15874" width="16.140625" style="171" customWidth="1"/>
    <col min="15875" max="15875" width="12.7109375" style="171" customWidth="1"/>
    <col min="15876" max="15876" width="14.42578125" style="171" customWidth="1"/>
    <col min="15877" max="15878" width="12.7109375" style="171" customWidth="1"/>
    <col min="15879" max="15879" width="16.28515625" style="171" customWidth="1"/>
    <col min="15880" max="15880" width="12.7109375" style="171" customWidth="1"/>
    <col min="15881" max="15881" width="14.28515625" style="171" customWidth="1"/>
    <col min="15882" max="15885" width="12.7109375" style="171" customWidth="1"/>
    <col min="15886" max="15886" width="16.42578125" style="171" customWidth="1"/>
    <col min="15887" max="16128" width="11.42578125" style="171"/>
    <col min="16129" max="16129" width="42.140625" style="171" customWidth="1"/>
    <col min="16130" max="16130" width="16.140625" style="171" customWidth="1"/>
    <col min="16131" max="16131" width="12.7109375" style="171" customWidth="1"/>
    <col min="16132" max="16132" width="14.42578125" style="171" customWidth="1"/>
    <col min="16133" max="16134" width="12.7109375" style="171" customWidth="1"/>
    <col min="16135" max="16135" width="16.28515625" style="171" customWidth="1"/>
    <col min="16136" max="16136" width="12.7109375" style="171" customWidth="1"/>
    <col min="16137" max="16137" width="14.28515625" style="171" customWidth="1"/>
    <col min="16138" max="16141" width="12.7109375" style="171" customWidth="1"/>
    <col min="16142" max="16142" width="16.42578125" style="171" customWidth="1"/>
    <col min="16143" max="16384" width="11.42578125" style="171"/>
  </cols>
  <sheetData>
    <row r="1" spans="1:15" ht="25.5" customHeight="1" thickBot="1"/>
    <row r="2" spans="1:15" ht="13.5" thickBot="1">
      <c r="A2" s="199" t="str">
        <f>+[2]Simul!D7</f>
        <v>ESCENARIO NORMAL</v>
      </c>
    </row>
    <row r="3" spans="1:15" ht="13.5" outlineLevel="1" thickBot="1">
      <c r="A3" s="200"/>
      <c r="B3" s="201">
        <v>1</v>
      </c>
      <c r="C3" s="201">
        <v>2</v>
      </c>
      <c r="D3" s="201">
        <v>3</v>
      </c>
      <c r="E3" s="201">
        <v>4</v>
      </c>
      <c r="F3" s="201">
        <v>5</v>
      </c>
      <c r="G3" s="201">
        <v>6</v>
      </c>
      <c r="H3" s="201">
        <v>7</v>
      </c>
      <c r="I3" s="201">
        <v>8</v>
      </c>
      <c r="J3" s="201">
        <v>9</v>
      </c>
      <c r="K3" s="201">
        <v>10</v>
      </c>
      <c r="L3" s="201">
        <v>11</v>
      </c>
      <c r="M3" s="201">
        <v>12</v>
      </c>
    </row>
    <row r="4" spans="1:15" s="201" customFormat="1" outlineLevel="1">
      <c r="A4" s="202" t="s">
        <v>221</v>
      </c>
      <c r="B4" s="203" t="s">
        <v>137</v>
      </c>
      <c r="C4" s="203" t="s">
        <v>138</v>
      </c>
      <c r="D4" s="203" t="s">
        <v>139</v>
      </c>
      <c r="E4" s="203" t="s">
        <v>140</v>
      </c>
      <c r="F4" s="203" t="s">
        <v>141</v>
      </c>
      <c r="G4" s="203" t="s">
        <v>142</v>
      </c>
      <c r="H4" s="203" t="s">
        <v>143</v>
      </c>
      <c r="I4" s="203" t="s">
        <v>144</v>
      </c>
      <c r="J4" s="203" t="s">
        <v>145</v>
      </c>
      <c r="K4" s="203" t="s">
        <v>146</v>
      </c>
      <c r="L4" s="203" t="s">
        <v>147</v>
      </c>
      <c r="M4" s="204" t="s">
        <v>148</v>
      </c>
    </row>
    <row r="5" spans="1:15" outlineLevel="1">
      <c r="A5" s="205" t="s">
        <v>222</v>
      </c>
      <c r="B5" s="206">
        <f t="shared" ref="B5:M5" si="0">+$B$42/12+IF($B$45="",0,IF((MATCH($D$45,$B$4:$M$4,FALSE))&lt;=B3,+$B$54/(13-MATCH($D$45,$B$4:$M$4,FALSE)),0))+IF($B$46="",0,IF((MATCH($D$46,$B$4:$M$4,FALSE))&lt;=B3,+$B$55/(13-MATCH($D$46,$B$4:$M$4,FALSE)),0))+IF($B$47="",0,IF((MATCH($D$47,$B$4:$M$4,FALSE))&lt;=B3,+$B$56/(13-MATCH($D$45,$B$4:$M$4,FALSE)),0))+$E$72</f>
        <v>300</v>
      </c>
      <c r="C5" s="206">
        <f t="shared" si="0"/>
        <v>300</v>
      </c>
      <c r="D5" s="206">
        <f t="shared" si="0"/>
        <v>300</v>
      </c>
      <c r="E5" s="206">
        <f t="shared" si="0"/>
        <v>300</v>
      </c>
      <c r="F5" s="206">
        <f t="shared" si="0"/>
        <v>300</v>
      </c>
      <c r="G5" s="206">
        <f t="shared" si="0"/>
        <v>300</v>
      </c>
      <c r="H5" s="206">
        <f t="shared" si="0"/>
        <v>300</v>
      </c>
      <c r="I5" s="206">
        <f t="shared" si="0"/>
        <v>300</v>
      </c>
      <c r="J5" s="206">
        <f t="shared" si="0"/>
        <v>300</v>
      </c>
      <c r="K5" s="206">
        <f t="shared" si="0"/>
        <v>300</v>
      </c>
      <c r="L5" s="206">
        <f t="shared" si="0"/>
        <v>300</v>
      </c>
      <c r="M5" s="207">
        <f t="shared" si="0"/>
        <v>300</v>
      </c>
      <c r="N5" s="208"/>
      <c r="O5" s="208"/>
    </row>
    <row r="6" spans="1:15" outlineLevel="1">
      <c r="A6" s="205" t="s">
        <v>223</v>
      </c>
      <c r="B6" s="206">
        <f t="shared" ref="B6:M6" si="1">+$D$42/12+IF($B$45="",0,IF((MATCH($D$45,$B$4:$M$4,FALSE))&lt;=B3,+$D$54/(13-MATCH($D$45,$B$4:$M$4,FALSE)),0))+IF($B$46="",0,IF((MATCH($D$46,$B$4:$M$4,FALSE))&lt;=B3,+$D$55/(13-MATCH($D$46,$B$4:$M$4,FALSE)),0))+IF($B$47="",0,IF((MATCH($D$47,$B$4:$M$4,FALSE))&lt;=B3,+$D$57/(13-MATCH($D$47,$B$4:$M$4,FALSE)),0))</f>
        <v>246.4</v>
      </c>
      <c r="C6" s="206">
        <f t="shared" si="1"/>
        <v>246.4</v>
      </c>
      <c r="D6" s="206">
        <f t="shared" si="1"/>
        <v>246.4</v>
      </c>
      <c r="E6" s="206">
        <f t="shared" si="1"/>
        <v>246.4</v>
      </c>
      <c r="F6" s="206">
        <f t="shared" si="1"/>
        <v>246.4</v>
      </c>
      <c r="G6" s="206">
        <f t="shared" si="1"/>
        <v>246.4</v>
      </c>
      <c r="H6" s="206">
        <f t="shared" si="1"/>
        <v>246.4</v>
      </c>
      <c r="I6" s="206">
        <f t="shared" si="1"/>
        <v>246.4</v>
      </c>
      <c r="J6" s="206">
        <f t="shared" si="1"/>
        <v>246.4</v>
      </c>
      <c r="K6" s="206">
        <f t="shared" si="1"/>
        <v>246.4</v>
      </c>
      <c r="L6" s="206">
        <f t="shared" si="1"/>
        <v>246.4</v>
      </c>
      <c r="M6" s="207">
        <f t="shared" si="1"/>
        <v>246.4</v>
      </c>
      <c r="N6" s="208"/>
      <c r="O6" s="208"/>
    </row>
    <row r="7" spans="1:15" outlineLevel="1">
      <c r="A7" s="209"/>
      <c r="B7" s="5"/>
      <c r="C7" s="5"/>
      <c r="D7" s="5"/>
      <c r="E7" s="5"/>
      <c r="F7" s="5"/>
      <c r="G7" s="5"/>
      <c r="H7" s="5"/>
      <c r="I7" s="5"/>
      <c r="J7" s="5"/>
      <c r="K7" s="5"/>
      <c r="L7" s="5"/>
      <c r="M7" s="210"/>
      <c r="N7" s="288"/>
    </row>
    <row r="8" spans="1:15" s="201" customFormat="1" outlineLevel="1">
      <c r="A8" s="211" t="s">
        <v>224</v>
      </c>
      <c r="B8" s="212" t="s">
        <v>137</v>
      </c>
      <c r="C8" s="212" t="s">
        <v>138</v>
      </c>
      <c r="D8" s="212" t="s">
        <v>139</v>
      </c>
      <c r="E8" s="212" t="s">
        <v>140</v>
      </c>
      <c r="F8" s="212" t="s">
        <v>141</v>
      </c>
      <c r="G8" s="212" t="s">
        <v>142</v>
      </c>
      <c r="H8" s="212" t="s">
        <v>143</v>
      </c>
      <c r="I8" s="212" t="s">
        <v>144</v>
      </c>
      <c r="J8" s="212" t="s">
        <v>145</v>
      </c>
      <c r="K8" s="212" t="s">
        <v>146</v>
      </c>
      <c r="L8" s="212" t="s">
        <v>147</v>
      </c>
      <c r="M8" s="213" t="s">
        <v>148</v>
      </c>
      <c r="N8" s="208"/>
    </row>
    <row r="9" spans="1:15" outlineLevel="1">
      <c r="A9" s="214" t="s">
        <v>225</v>
      </c>
      <c r="B9" s="215">
        <f t="shared" ref="B9:M9" si="2">+$L$42+IF(B4=$D$19,+$C$19*($H$42-$J$42),0)+IF(B4=$D$20,+$C$20*($H$42-$J$42),0)+IF(B4=$D$21,+$C$21*($H$42-$J$42),0)+IF(B3&gt;=(MATCH($D$45,$B$4:$M$4,FALSE)),$J$54,0)+IF(B3&gt;=(MATCH($D$46,$B$4:$M$4,FALSE)),$J$55,0)+IF(B3&gt;=(MATCH($D$47,$B$4:$M$4,FALSE)),$J$56,0)+IF(B4=$D$49,+$C$49*$F$54*(1-$C$54/100),0)+IF(B4=$D$50,+$C$50*$F$54*(1-$C$54/100),0)+IF(B4=$D$51,+$C$51*$F$54*(1-$C$54/100),0)+IF(B4=$D$49,+$C$49*$F$55*(1-$C$55/100),0)+IF(B4=$D$50,+$C$50*$F$55*(1-$C$55/100),0)+IF(B4=$D$51,+$C$51*$F$55*(1-$C$55/100),0)+IF(B4=$D$49,+$C$49*$F$56*(1-$C$56/100),0)+IF(B4=$D$50,+$C$50*$F$56*(1-$C$56/100),0)+IF(B4=$D$51,+$C$51*$F$56*(1-$C$56/100),0)+$J$72+IF(B4=$D$60,+$C$60*$E$72,0)+IF(B4=$D$61,+$C$61*$E$72,0)+IF(B4=$D$62,+$C$62*$E$72,0)</f>
        <v>230.72307692307692</v>
      </c>
      <c r="C9" s="215">
        <f t="shared" si="2"/>
        <v>230.72307692307692</v>
      </c>
      <c r="D9" s="215">
        <f t="shared" si="2"/>
        <v>230.72307692307692</v>
      </c>
      <c r="E9" s="215">
        <f t="shared" si="2"/>
        <v>230.72307692307692</v>
      </c>
      <c r="F9" s="215">
        <f t="shared" si="2"/>
        <v>230.72307692307692</v>
      </c>
      <c r="G9" s="215">
        <f t="shared" si="2"/>
        <v>507.64615384615382</v>
      </c>
      <c r="H9" s="215">
        <f t="shared" si="2"/>
        <v>230.72307692307692</v>
      </c>
      <c r="I9" s="215">
        <f t="shared" si="2"/>
        <v>230.72307692307692</v>
      </c>
      <c r="J9" s="215">
        <f t="shared" si="2"/>
        <v>230.72307692307692</v>
      </c>
      <c r="K9" s="215">
        <f t="shared" si="2"/>
        <v>230.72307692307692</v>
      </c>
      <c r="L9" s="215">
        <f t="shared" si="2"/>
        <v>230.72307692307692</v>
      </c>
      <c r="M9" s="215">
        <f t="shared" si="2"/>
        <v>230.72307692307692</v>
      </c>
      <c r="N9" s="208"/>
      <c r="O9" s="208"/>
    </row>
    <row r="10" spans="1:15" outlineLevel="1">
      <c r="A10" s="209" t="s">
        <v>226</v>
      </c>
      <c r="B10" s="206">
        <f t="shared" ref="B10:M10" si="3">+$D$42/12+$K$42+IF($B$45="",0,IF((MATCH($D$45,$B$4:$M$4,FALSE))&lt;=B3,+$D$54/(13-MATCH($D$45,$B$4:$M$4,FALSE))+$I$54*$G$54,0))+IF($B$46="",0,IF((MATCH($D$46,$B$4:$M$4,FALSE))&lt;=B3,+$D$55/(13-MATCH($D$46,$B$4:$M$4,FALSE))+$I$55*$G$55,0))+IF($B$47="",0,IF((MATCH($D$47,$B$4:$M$4,FALSE))&lt;=B3,+$D$56/(13-MATCH($D$47,$B$4:$M$4,FALSE))+$I$56*$G$56,0))+$I$72</f>
        <v>292.60000000000002</v>
      </c>
      <c r="C10" s="206">
        <f t="shared" si="3"/>
        <v>292.60000000000002</v>
      </c>
      <c r="D10" s="206">
        <f t="shared" si="3"/>
        <v>292.60000000000002</v>
      </c>
      <c r="E10" s="206">
        <f t="shared" si="3"/>
        <v>292.60000000000002</v>
      </c>
      <c r="F10" s="206">
        <f t="shared" si="3"/>
        <v>292.60000000000002</v>
      </c>
      <c r="G10" s="206">
        <f t="shared" si="3"/>
        <v>292.60000000000002</v>
      </c>
      <c r="H10" s="206">
        <f t="shared" si="3"/>
        <v>292.60000000000002</v>
      </c>
      <c r="I10" s="206">
        <f t="shared" si="3"/>
        <v>292.60000000000002</v>
      </c>
      <c r="J10" s="206">
        <f t="shared" si="3"/>
        <v>292.60000000000002</v>
      </c>
      <c r="K10" s="206">
        <f t="shared" si="3"/>
        <v>292.60000000000002</v>
      </c>
      <c r="L10" s="206">
        <f t="shared" si="3"/>
        <v>292.60000000000002</v>
      </c>
      <c r="M10" s="207">
        <f t="shared" si="3"/>
        <v>292.60000000000002</v>
      </c>
      <c r="N10" s="208"/>
      <c r="O10" s="208"/>
    </row>
    <row r="11" spans="1:15" outlineLevel="1">
      <c r="A11" s="214" t="s">
        <v>227</v>
      </c>
      <c r="B11" s="215">
        <f>+Balance!C28</f>
        <v>0</v>
      </c>
      <c r="C11" s="215">
        <f>+B10</f>
        <v>292.60000000000002</v>
      </c>
      <c r="D11" s="215">
        <f t="shared" ref="D11:M11" si="4">+C10</f>
        <v>292.60000000000002</v>
      </c>
      <c r="E11" s="215">
        <f t="shared" si="4"/>
        <v>292.60000000000002</v>
      </c>
      <c r="F11" s="215">
        <f t="shared" si="4"/>
        <v>292.60000000000002</v>
      </c>
      <c r="G11" s="215">
        <f t="shared" si="4"/>
        <v>292.60000000000002</v>
      </c>
      <c r="H11" s="215">
        <f t="shared" si="4"/>
        <v>292.60000000000002</v>
      </c>
      <c r="I11" s="215">
        <f>+H10</f>
        <v>292.60000000000002</v>
      </c>
      <c r="J11" s="215">
        <f t="shared" si="4"/>
        <v>292.60000000000002</v>
      </c>
      <c r="K11" s="215">
        <f t="shared" si="4"/>
        <v>292.60000000000002</v>
      </c>
      <c r="L11" s="215">
        <f t="shared" si="4"/>
        <v>292.60000000000002</v>
      </c>
      <c r="M11" s="216">
        <f t="shared" si="4"/>
        <v>292.60000000000002</v>
      </c>
      <c r="N11" s="208"/>
    </row>
    <row r="12" spans="1:15" outlineLevel="1">
      <c r="A12" s="209" t="s">
        <v>228</v>
      </c>
      <c r="B12" s="206">
        <f t="shared" ref="B12:M12" si="5">+$J$42+IF(B4=$D$19,+$C$19*$J$42,0)+IF(B4=$D$20,+$C$20*$J$42,0)+IF(B4=$D$21,+$C$21*$J$42,0)+IF(B3&gt;=(MATCH($D$45,$B$4:$M$4,FALSE)),$H$54,0)+IF(B3&gt;=(MATCH($D$46,$B$4:$M$4,FALSE)),$H$55,0)+IF(B3&gt;=(MATCH($D$47,$B$4:$M$4,FALSE)),$H$56,0)+IF(B4=$D$49,+$C$49*$F$54*$C$54/100,0)+IF(B4=$D$50,+$C$50*$F$54*$C$54/100,0)+IF(B4=$D$51,+$C$51*$F$54*$C$54/100,0)+IF(B4=$D$49,+$C$49*$F$55*$C$55/100,0)+IF(B4=$D$50,+$C$50*$F$55*$C$55/100,0)+IF(B4=$D$51,+$C$51*$F$55*$C$55/100,0)+IF(B4=$D$49,+$C$49*$F$56*$C$56/100,0)+IF(B4=$D$50,+$C$50*$F$56*$C$56/100,0)+IF(B4=$D$51,+$C$51*$F$56*$C$56/100,0)</f>
        <v>0</v>
      </c>
      <c r="C12" s="206">
        <f t="shared" si="5"/>
        <v>0</v>
      </c>
      <c r="D12" s="206">
        <f t="shared" si="5"/>
        <v>0</v>
      </c>
      <c r="E12" s="206">
        <f t="shared" si="5"/>
        <v>0</v>
      </c>
      <c r="F12" s="206">
        <f t="shared" si="5"/>
        <v>0</v>
      </c>
      <c r="G12" s="206">
        <f t="shared" si="5"/>
        <v>0</v>
      </c>
      <c r="H12" s="206">
        <f t="shared" si="5"/>
        <v>0</v>
      </c>
      <c r="I12" s="206">
        <f t="shared" si="5"/>
        <v>0</v>
      </c>
      <c r="J12" s="206">
        <f t="shared" si="5"/>
        <v>0</v>
      </c>
      <c r="K12" s="206">
        <f t="shared" si="5"/>
        <v>0</v>
      </c>
      <c r="L12" s="206">
        <f t="shared" si="5"/>
        <v>0</v>
      </c>
      <c r="M12" s="207">
        <f t="shared" si="5"/>
        <v>0</v>
      </c>
      <c r="N12" s="208"/>
      <c r="O12" s="208"/>
    </row>
    <row r="13" spans="1:15" outlineLevel="1">
      <c r="A13" s="209" t="s">
        <v>229</v>
      </c>
      <c r="B13" s="206">
        <f>+B12</f>
        <v>0</v>
      </c>
      <c r="C13" s="206">
        <f t="shared" ref="C13:M13" si="6">+B13+C12-C14</f>
        <v>0</v>
      </c>
      <c r="D13" s="206">
        <f t="shared" si="6"/>
        <v>0</v>
      </c>
      <c r="E13" s="206">
        <f t="shared" si="6"/>
        <v>0</v>
      </c>
      <c r="F13" s="206">
        <f t="shared" si="6"/>
        <v>0</v>
      </c>
      <c r="G13" s="206">
        <f t="shared" si="6"/>
        <v>0</v>
      </c>
      <c r="H13" s="206">
        <f t="shared" si="6"/>
        <v>0</v>
      </c>
      <c r="I13" s="206">
        <f>+H13+I12-I14</f>
        <v>0</v>
      </c>
      <c r="J13" s="206">
        <f t="shared" si="6"/>
        <v>0</v>
      </c>
      <c r="K13" s="206">
        <f t="shared" si="6"/>
        <v>0</v>
      </c>
      <c r="L13" s="206">
        <f t="shared" si="6"/>
        <v>0</v>
      </c>
      <c r="M13" s="207">
        <f t="shared" si="6"/>
        <v>0</v>
      </c>
      <c r="N13" s="208"/>
    </row>
    <row r="14" spans="1:15" ht="13.5" outlineLevel="1" thickBot="1">
      <c r="A14" s="217" t="s">
        <v>230</v>
      </c>
      <c r="B14" s="218"/>
      <c r="C14" s="218"/>
      <c r="D14" s="218"/>
      <c r="E14" s="218">
        <f>+D13</f>
        <v>0</v>
      </c>
      <c r="F14" s="218"/>
      <c r="G14" s="218"/>
      <c r="H14" s="218">
        <f>+G13</f>
        <v>0</v>
      </c>
      <c r="I14" s="218"/>
      <c r="J14" s="218"/>
      <c r="K14" s="218">
        <f>+J13</f>
        <v>0</v>
      </c>
      <c r="L14" s="218"/>
      <c r="M14" s="219"/>
      <c r="N14" s="208"/>
    </row>
    <row r="15" spans="1:15">
      <c r="A15" s="201"/>
      <c r="B15" s="291"/>
      <c r="C15" s="291"/>
      <c r="D15" s="291"/>
      <c r="E15" s="291"/>
      <c r="F15" s="291"/>
      <c r="G15" s="291"/>
      <c r="H15" s="291"/>
      <c r="I15" s="291"/>
      <c r="J15" s="291"/>
      <c r="K15" s="291"/>
      <c r="L15" s="291"/>
      <c r="M15" s="291"/>
      <c r="N15" s="208"/>
    </row>
    <row r="16" spans="1:15">
      <c r="A16" s="201"/>
      <c r="B16" s="73"/>
      <c r="C16" s="73"/>
      <c r="D16" s="73"/>
      <c r="E16" s="177"/>
      <c r="F16"/>
      <c r="G16"/>
      <c r="H16"/>
      <c r="I16"/>
      <c r="J16"/>
      <c r="K16"/>
      <c r="L16"/>
      <c r="M16"/>
    </row>
    <row r="17" spans="1:14" ht="13.5" thickBot="1">
      <c r="A17" s="201"/>
      <c r="B17" s="73"/>
      <c r="C17" s="73"/>
      <c r="D17" s="73"/>
      <c r="E17"/>
      <c r="F17"/>
      <c r="G17"/>
      <c r="H17"/>
      <c r="I17"/>
      <c r="J17"/>
      <c r="K17"/>
      <c r="L17"/>
      <c r="M17"/>
    </row>
    <row r="18" spans="1:14" s="225" customFormat="1" ht="28.5" customHeight="1">
      <c r="A18" s="220" t="s">
        <v>231</v>
      </c>
      <c r="B18" s="221"/>
      <c r="C18" s="222" t="s">
        <v>232</v>
      </c>
      <c r="D18" s="223" t="s">
        <v>233</v>
      </c>
      <c r="E18" s="224"/>
      <c r="F18" s="289"/>
      <c r="G18" s="224"/>
      <c r="H18" s="224"/>
      <c r="I18" s="224"/>
      <c r="J18" s="224"/>
      <c r="K18" s="224"/>
      <c r="L18" s="224"/>
      <c r="M18" s="224"/>
      <c r="N18" s="290"/>
    </row>
    <row r="19" spans="1:14">
      <c r="A19" s="226" t="s">
        <v>234</v>
      </c>
      <c r="B19" s="139"/>
      <c r="C19" s="227">
        <v>1</v>
      </c>
      <c r="D19" s="228" t="s">
        <v>142</v>
      </c>
      <c r="E19" s="201"/>
      <c r="F19" s="201"/>
      <c r="G19" s="201"/>
      <c r="H19" s="201"/>
      <c r="I19" s="201"/>
      <c r="J19" s="201"/>
      <c r="K19" s="201"/>
      <c r="L19" s="201"/>
      <c r="M19" s="201"/>
      <c r="N19" s="201"/>
    </row>
    <row r="20" spans="1:14">
      <c r="A20" s="226" t="s">
        <v>235</v>
      </c>
      <c r="B20" s="139"/>
      <c r="C20" s="227"/>
      <c r="D20" s="228" t="s">
        <v>148</v>
      </c>
      <c r="E20" s="201"/>
      <c r="F20" s="201"/>
      <c r="G20" s="201"/>
      <c r="H20" s="201"/>
      <c r="I20" s="201"/>
      <c r="J20" s="201"/>
      <c r="K20" s="201"/>
      <c r="L20" s="201"/>
      <c r="M20" s="201"/>
      <c r="N20" s="201"/>
    </row>
    <row r="21" spans="1:14">
      <c r="A21" s="226" t="s">
        <v>236</v>
      </c>
      <c r="B21" s="139"/>
      <c r="C21" s="227"/>
      <c r="D21" s="228"/>
      <c r="E21" s="201"/>
      <c r="F21" s="201"/>
      <c r="G21" s="201"/>
      <c r="H21" s="201"/>
      <c r="I21" s="201"/>
      <c r="J21" s="201"/>
      <c r="K21" s="201"/>
      <c r="L21" s="201"/>
      <c r="M21" s="201"/>
      <c r="N21" s="201"/>
    </row>
    <row r="22" spans="1:14">
      <c r="A22" s="226" t="s">
        <v>237</v>
      </c>
      <c r="B22" s="229">
        <v>0.06</v>
      </c>
      <c r="C22" s="201"/>
      <c r="D22" s="230"/>
      <c r="E22" s="201"/>
      <c r="F22" s="201"/>
      <c r="G22" s="5"/>
      <c r="H22" s="201"/>
      <c r="I22" s="201"/>
      <c r="J22" s="201"/>
      <c r="K22" s="201"/>
      <c r="L22" s="201"/>
      <c r="M22" s="201"/>
      <c r="N22" s="201"/>
    </row>
    <row r="23" spans="1:14">
      <c r="A23" s="226" t="s">
        <v>238</v>
      </c>
      <c r="B23" s="229">
        <v>0.32</v>
      </c>
      <c r="C23" s="201"/>
      <c r="D23" s="230"/>
      <c r="E23" s="201"/>
      <c r="F23" s="201"/>
      <c r="G23" s="5"/>
      <c r="H23" s="201"/>
      <c r="I23" s="201"/>
      <c r="J23" s="201"/>
      <c r="K23" s="201"/>
      <c r="L23" s="201"/>
      <c r="M23" s="201"/>
      <c r="N23" s="201"/>
    </row>
    <row r="24" spans="1:14">
      <c r="A24" s="231" t="s">
        <v>239</v>
      </c>
      <c r="B24" s="232">
        <f>770</f>
        <v>770</v>
      </c>
      <c r="C24" s="201"/>
      <c r="D24" s="230"/>
      <c r="E24" s="201"/>
      <c r="F24" s="201"/>
      <c r="G24" s="201"/>
      <c r="H24" s="201"/>
      <c r="I24" s="201"/>
      <c r="J24" s="201"/>
      <c r="K24" s="201"/>
      <c r="L24" s="201"/>
      <c r="M24" s="201"/>
      <c r="N24" s="201"/>
    </row>
    <row r="25" spans="1:14">
      <c r="A25" s="231" t="s">
        <v>240</v>
      </c>
      <c r="B25" s="232">
        <f>2813.4</f>
        <v>2813.4</v>
      </c>
      <c r="C25" s="201"/>
      <c r="D25" s="230"/>
      <c r="E25" s="201"/>
      <c r="F25" s="201"/>
      <c r="G25" s="201"/>
      <c r="H25" s="201"/>
      <c r="I25" s="201"/>
      <c r="J25" s="201"/>
      <c r="K25" s="201"/>
      <c r="L25" s="201"/>
      <c r="M25" s="233"/>
      <c r="N25" s="201"/>
    </row>
    <row r="26" spans="1:14">
      <c r="A26" s="231" t="s">
        <v>241</v>
      </c>
      <c r="B26" s="234">
        <v>1</v>
      </c>
      <c r="C26" s="201"/>
      <c r="D26" s="230"/>
      <c r="E26" s="201"/>
      <c r="F26" s="201"/>
      <c r="G26" s="201"/>
      <c r="H26" s="201"/>
      <c r="I26" s="201"/>
      <c r="J26" s="201"/>
      <c r="K26" s="201"/>
      <c r="L26" s="201"/>
      <c r="M26" s="201"/>
      <c r="N26" s="201"/>
    </row>
    <row r="27" spans="1:14">
      <c r="A27" s="226"/>
      <c r="B27" s="139"/>
      <c r="C27" s="201"/>
      <c r="D27" s="230"/>
      <c r="E27" s="201"/>
      <c r="F27" s="201"/>
      <c r="G27" s="201"/>
      <c r="H27" s="201"/>
      <c r="I27" s="201"/>
      <c r="J27" s="201"/>
      <c r="K27" s="201"/>
      <c r="L27" s="201"/>
      <c r="M27" s="201"/>
      <c r="N27" s="201"/>
    </row>
    <row r="28" spans="1:14" s="239" customFormat="1">
      <c r="A28" s="235" t="s">
        <v>242</v>
      </c>
      <c r="B28" s="236" t="s">
        <v>243</v>
      </c>
      <c r="C28" s="237" t="s">
        <v>244</v>
      </c>
      <c r="D28" s="238"/>
      <c r="F28" s="240"/>
      <c r="G28" s="240"/>
      <c r="H28" s="240"/>
      <c r="I28" s="240"/>
      <c r="J28" s="240"/>
      <c r="K28" s="240"/>
      <c r="L28" s="240"/>
      <c r="M28" s="240"/>
      <c r="N28" s="240"/>
    </row>
    <row r="29" spans="1:14">
      <c r="A29" s="226" t="s">
        <v>245</v>
      </c>
      <c r="B29" s="241">
        <v>3600</v>
      </c>
      <c r="C29" s="242">
        <v>1</v>
      </c>
      <c r="D29" s="230"/>
      <c r="F29" s="201"/>
      <c r="G29" s="201"/>
      <c r="H29" s="201"/>
      <c r="I29" s="201"/>
      <c r="J29" s="201"/>
      <c r="K29" s="201"/>
      <c r="L29" s="201"/>
      <c r="M29" s="201"/>
      <c r="N29" s="201"/>
    </row>
    <row r="30" spans="1:14">
      <c r="A30" s="226" t="s">
        <v>246</v>
      </c>
      <c r="B30" s="241"/>
      <c r="C30" s="242"/>
      <c r="D30" s="230"/>
      <c r="F30" s="201"/>
      <c r="G30" s="201"/>
      <c r="H30" s="201"/>
      <c r="I30" s="201"/>
      <c r="J30" s="201"/>
      <c r="K30" s="201"/>
      <c r="L30" s="201"/>
      <c r="M30" s="201"/>
      <c r="N30" s="201"/>
    </row>
    <row r="31" spans="1:14" hidden="1">
      <c r="A31" s="226" t="s">
        <v>247</v>
      </c>
      <c r="B31" s="241"/>
      <c r="C31" s="242"/>
      <c r="D31" s="230"/>
      <c r="F31" s="201"/>
      <c r="G31" s="201"/>
      <c r="H31" s="201"/>
      <c r="I31" s="201"/>
      <c r="J31" s="201"/>
      <c r="K31" s="201"/>
      <c r="L31" s="201"/>
      <c r="M31" s="201"/>
      <c r="N31" s="201"/>
    </row>
    <row r="32" spans="1:14" hidden="1">
      <c r="A32" s="226" t="s">
        <v>248</v>
      </c>
      <c r="B32" s="241"/>
      <c r="C32" s="242"/>
      <c r="D32" s="230"/>
      <c r="F32" s="201"/>
      <c r="G32" s="201"/>
      <c r="H32" s="201"/>
      <c r="I32" s="201"/>
      <c r="J32" s="201"/>
      <c r="K32" s="201"/>
      <c r="L32" s="201"/>
      <c r="M32" s="201"/>
      <c r="N32" s="201"/>
    </row>
    <row r="33" spans="1:18" hidden="1">
      <c r="A33" s="226" t="s">
        <v>249</v>
      </c>
      <c r="B33" s="241"/>
      <c r="C33" s="242"/>
      <c r="D33" s="230"/>
      <c r="F33" s="201"/>
      <c r="G33" s="201"/>
      <c r="H33" s="201"/>
      <c r="I33" s="201"/>
      <c r="J33" s="201"/>
      <c r="K33" s="201"/>
      <c r="L33" s="201"/>
      <c r="M33" s="201"/>
      <c r="N33" s="201"/>
    </row>
    <row r="34" spans="1:18" ht="13.5" hidden="1" thickBot="1">
      <c r="A34" s="243"/>
      <c r="B34" s="244"/>
      <c r="C34" s="245"/>
      <c r="D34" s="246"/>
      <c r="F34" s="201"/>
      <c r="G34" s="201"/>
      <c r="H34" s="201"/>
      <c r="I34" s="201"/>
      <c r="J34" s="201"/>
      <c r="K34" s="201"/>
      <c r="L34" s="201"/>
      <c r="M34" s="201"/>
      <c r="N34" s="201"/>
    </row>
    <row r="35" spans="1:18" ht="13.5" thickBot="1">
      <c r="F35" s="201"/>
      <c r="G35" s="201"/>
      <c r="H35" s="201"/>
      <c r="I35" s="201"/>
      <c r="J35" s="201"/>
      <c r="K35" s="201"/>
      <c r="L35" s="201"/>
      <c r="M35" s="201"/>
      <c r="N35" s="201"/>
    </row>
    <row r="36" spans="1:18" ht="43.5" customHeight="1">
      <c r="A36" s="247" t="s">
        <v>242</v>
      </c>
      <c r="B36" s="247" t="s">
        <v>250</v>
      </c>
      <c r="C36" s="222" t="s">
        <v>251</v>
      </c>
      <c r="D36" s="222" t="s">
        <v>252</v>
      </c>
      <c r="E36" s="222" t="s">
        <v>253</v>
      </c>
      <c r="F36" s="247" t="s">
        <v>287</v>
      </c>
      <c r="G36" s="223" t="s">
        <v>254</v>
      </c>
      <c r="H36" s="247" t="s">
        <v>288</v>
      </c>
      <c r="I36" s="223" t="s">
        <v>254</v>
      </c>
      <c r="J36" s="247" t="s">
        <v>255</v>
      </c>
      <c r="K36" s="222" t="s">
        <v>290</v>
      </c>
      <c r="L36" s="222" t="s">
        <v>256</v>
      </c>
      <c r="M36" s="223" t="s">
        <v>291</v>
      </c>
      <c r="N36" s="201"/>
    </row>
    <row r="37" spans="1:18">
      <c r="A37" s="139" t="s">
        <v>257</v>
      </c>
      <c r="B37" s="248">
        <f>B29*C29</f>
        <v>3600</v>
      </c>
      <c r="C37" s="249">
        <f>IF((B29)&lt;A$93,0,VLOOKUP((B29),$A$93:$B$134,2,TRUE))</f>
        <v>0</v>
      </c>
      <c r="D37" s="249">
        <f>(IF(B37=0,0,IF(F37&gt;B$25,(B$25*$B$23),IF(F37&lt;B$24,(B$24*$B$23),(F37*$B$23)))))*C29*12</f>
        <v>2956.8</v>
      </c>
      <c r="E37" s="249">
        <f>+B37+D37</f>
        <v>6556.8</v>
      </c>
      <c r="F37" s="248">
        <f>+B29/(12)</f>
        <v>300</v>
      </c>
      <c r="G37" s="250">
        <f>+C29</f>
        <v>1</v>
      </c>
      <c r="H37" s="248">
        <f>+B29/(12+C$19+C$20+C$21)</f>
        <v>276.92307692307691</v>
      </c>
      <c r="I37" s="250">
        <f>+C29</f>
        <v>1</v>
      </c>
      <c r="J37" s="248">
        <f>+(F37*G37)*(C37/100)</f>
        <v>0</v>
      </c>
      <c r="K37" s="249">
        <f>+(IF(B29=0,0,IF(F37&gt;B$25,B$25*$B$22*C29,IF(F37&lt;B$24,B$24*$B$22*C29,+F37*$B$22))))*C29</f>
        <v>46.199999999999996</v>
      </c>
      <c r="L37" s="249">
        <f>+H37*G37-J37-K37</f>
        <v>230.72307692307692</v>
      </c>
      <c r="M37" s="250">
        <f>+H37-J37</f>
        <v>276.92307692307691</v>
      </c>
    </row>
    <row r="38" spans="1:18">
      <c r="A38" s="139" t="s">
        <v>258</v>
      </c>
      <c r="B38" s="248">
        <f>B30*C30</f>
        <v>0</v>
      </c>
      <c r="C38" s="249">
        <f>IF((B30)&lt;'[2]G personal 2'!$A$91,0,VLOOKUP((B30),'[2]G personal 2'!$A$91:$B$132,2,TRUE))</f>
        <v>0</v>
      </c>
      <c r="D38" s="249">
        <f>(IF(B38=0,0,IF(B30&gt;B$25,(B$25*$B$23),IF(B30&lt;B$24,(B$24*$B$23),(B30*$B$23)))))*C30</f>
        <v>0</v>
      </c>
      <c r="E38" s="249">
        <f>+B38+D38</f>
        <v>0</v>
      </c>
      <c r="F38" s="248">
        <f t="shared" ref="F38:F41" si="7">+B30/(12)</f>
        <v>0</v>
      </c>
      <c r="G38" s="250">
        <f>+C30</f>
        <v>0</v>
      </c>
      <c r="H38" s="248">
        <f t="shared" ref="H38:H41" si="8">+B30/(12+C$19+C$20+C$21)</f>
        <v>0</v>
      </c>
      <c r="I38" s="250">
        <f>+E30</f>
        <v>0</v>
      </c>
      <c r="J38" s="248">
        <f>+(F38*G38)*(C38/100)</f>
        <v>0</v>
      </c>
      <c r="K38" s="249">
        <f>+(IF(B30=0,0,IF(F38&gt;B$25,B$25*$B$22*C30,IF(F38&lt;B$24,B$24*$B$22*C30,+F38*$B$22))))*C30</f>
        <v>0</v>
      </c>
      <c r="L38" s="249">
        <f>+F38*G38-J38-K38</f>
        <v>0</v>
      </c>
      <c r="M38" s="250">
        <f t="shared" ref="M38:M41" si="9">+H38-J38</f>
        <v>0</v>
      </c>
    </row>
    <row r="39" spans="1:18">
      <c r="A39" s="139" t="s">
        <v>259</v>
      </c>
      <c r="B39" s="248">
        <f>B31*C31</f>
        <v>0</v>
      </c>
      <c r="C39" s="249">
        <f>IF((B31)&lt;'[2]G personal 2'!$A$91,0,VLOOKUP((B31),'[2]G personal 2'!$A$91:$B$132,2,TRUE))</f>
        <v>0</v>
      </c>
      <c r="D39" s="249">
        <f>(IF(B39=0,0,IF(B31&gt;B$25,(B$25*$B$23),IF(B31&lt;B$24,(B$24*$B$23),(B31*$B$23)))))*C31</f>
        <v>0</v>
      </c>
      <c r="E39" s="249">
        <f>+B39+D39</f>
        <v>0</v>
      </c>
      <c r="F39" s="248">
        <f t="shared" si="7"/>
        <v>0</v>
      </c>
      <c r="G39" s="250">
        <f>+C31</f>
        <v>0</v>
      </c>
      <c r="H39" s="248">
        <f t="shared" si="8"/>
        <v>0</v>
      </c>
      <c r="I39" s="250">
        <f>+E31</f>
        <v>0</v>
      </c>
      <c r="J39" s="248">
        <f>+(F39*G39)*(C39/100)</f>
        <v>0</v>
      </c>
      <c r="K39" s="249">
        <f>+(IF(B31=0,0,IF(F39&gt;B$25,B$25*$B$22*C31,IF(F39&lt;B$24,B$24*$B$22*C31,+F39*$B$22))))*C31</f>
        <v>0</v>
      </c>
      <c r="L39" s="249">
        <f>+F39*G39-J39-K39</f>
        <v>0</v>
      </c>
      <c r="M39" s="250">
        <f t="shared" si="9"/>
        <v>0</v>
      </c>
    </row>
    <row r="40" spans="1:18">
      <c r="A40" s="139" t="s">
        <v>260</v>
      </c>
      <c r="B40" s="248">
        <f>B32*C32</f>
        <v>0</v>
      </c>
      <c r="C40" s="249">
        <f>IF((B32)&lt;'[2]G personal 2'!$A$91,0,VLOOKUP((B32),'[2]G personal 2'!$A$91:$B$132,2,TRUE))</f>
        <v>0</v>
      </c>
      <c r="D40" s="249">
        <f>(IF(B40=0,0,IF(B32&gt;B$25,(B$25*$B$23),IF(B32&lt;B$24,(B$24*$B$23),(B32*$B$23)))))*C32</f>
        <v>0</v>
      </c>
      <c r="E40" s="249">
        <f>+B40+D40</f>
        <v>0</v>
      </c>
      <c r="F40" s="248">
        <f t="shared" si="7"/>
        <v>0</v>
      </c>
      <c r="G40" s="250">
        <f>+C32</f>
        <v>0</v>
      </c>
      <c r="H40" s="248">
        <f t="shared" si="8"/>
        <v>0</v>
      </c>
      <c r="I40" s="250">
        <f>+E32</f>
        <v>0</v>
      </c>
      <c r="J40" s="248">
        <f>+(F40*G40)*(C40/100)</f>
        <v>0</v>
      </c>
      <c r="K40" s="249">
        <f>+(IF(B32=0,0,IF(F40&gt;B$25,B$25*$B$22*C32,IF(F40&lt;B$24,B$24*$B$22*C32,+F40*$B$22))))*C32</f>
        <v>0</v>
      </c>
      <c r="L40" s="249">
        <f>+F40*G40-J40-K40</f>
        <v>0</v>
      </c>
      <c r="M40" s="250">
        <f t="shared" si="9"/>
        <v>0</v>
      </c>
    </row>
    <row r="41" spans="1:18">
      <c r="A41" s="139" t="s">
        <v>261</v>
      </c>
      <c r="B41" s="248">
        <f>B33*C33</f>
        <v>0</v>
      </c>
      <c r="C41" s="249">
        <f>IF((B33)&lt;'[2]G personal 2'!$A$91,0,VLOOKUP((B33),'[2]G personal 2'!$A$91:$B$132,2,TRUE))</f>
        <v>0</v>
      </c>
      <c r="D41" s="249">
        <f>(IF(B41=0,0,IF(B33&gt;B$25,(B$25*$B$23),IF(B33&lt;B$24,(B$24*$B$23),(B33*$B$23)))))*C33</f>
        <v>0</v>
      </c>
      <c r="E41" s="249">
        <f>+B41+D41</f>
        <v>0</v>
      </c>
      <c r="F41" s="248">
        <f t="shared" si="7"/>
        <v>0</v>
      </c>
      <c r="G41" s="250">
        <f>+C33</f>
        <v>0</v>
      </c>
      <c r="H41" s="248">
        <f t="shared" si="8"/>
        <v>0</v>
      </c>
      <c r="I41" s="250">
        <f>+E33</f>
        <v>0</v>
      </c>
      <c r="J41" s="248">
        <f>+(F41*G41)*(C41/100)</f>
        <v>0</v>
      </c>
      <c r="K41" s="249">
        <f>+(IF(B33=0,0,IF(F41&gt;B$25,B$25*$B$22*C33,IF(F41&lt;B$24,B$24*$B$22*C33,+F41*$B$22))))*C33</f>
        <v>0</v>
      </c>
      <c r="L41" s="249">
        <f>+F41*G41-J41-K41</f>
        <v>0</v>
      </c>
      <c r="M41" s="250">
        <f t="shared" si="9"/>
        <v>0</v>
      </c>
    </row>
    <row r="42" spans="1:18" ht="13.5" thickBot="1">
      <c r="A42" s="251" t="s">
        <v>262</v>
      </c>
      <c r="B42" s="252">
        <f>SUM(B37:B41)</f>
        <v>3600</v>
      </c>
      <c r="C42" s="218"/>
      <c r="D42" s="218">
        <f>SUM(D37:D41)</f>
        <v>2956.8</v>
      </c>
      <c r="E42" s="218">
        <f>SUM(E37:E41)</f>
        <v>6556.8</v>
      </c>
      <c r="F42" s="334">
        <f>SUMPRODUCT(F37:F41,G37:G41)</f>
        <v>300</v>
      </c>
      <c r="G42" s="335"/>
      <c r="H42" s="334">
        <f>SUMPRODUCT(H37:H41,I37:I41)</f>
        <v>276.92307692307691</v>
      </c>
      <c r="I42" s="335"/>
      <c r="J42" s="286">
        <f>SUM(J37:J41)</f>
        <v>0</v>
      </c>
      <c r="K42" s="287">
        <f>SUM(K37:K41)</f>
        <v>46.199999999999996</v>
      </c>
      <c r="L42" s="287">
        <f>SUM(L37:L41)</f>
        <v>230.72307692307692</v>
      </c>
      <c r="M42" s="287">
        <f>SUM(M37:M41)</f>
        <v>276.92307692307691</v>
      </c>
    </row>
    <row r="43" spans="1:18" ht="13.5" thickBot="1">
      <c r="A43" s="253"/>
      <c r="B43" s="249"/>
      <c r="C43" s="249"/>
      <c r="D43" s="249"/>
      <c r="E43" s="249"/>
      <c r="F43" s="249"/>
      <c r="G43" s="249"/>
      <c r="H43" s="249"/>
      <c r="I43" s="249"/>
      <c r="K43"/>
    </row>
    <row r="44" spans="1:18">
      <c r="A44" s="254" t="s">
        <v>263</v>
      </c>
      <c r="B44" s="247" t="s">
        <v>264</v>
      </c>
      <c r="C44" s="222" t="s">
        <v>244</v>
      </c>
      <c r="D44" s="255" t="s">
        <v>265</v>
      </c>
      <c r="E44" s="249"/>
      <c r="F44" s="249"/>
      <c r="G44" s="249"/>
      <c r="H44" s="249"/>
      <c r="I44" s="249"/>
      <c r="K44"/>
    </row>
    <row r="45" spans="1:18">
      <c r="A45" s="226" t="s">
        <v>245</v>
      </c>
      <c r="B45" s="256"/>
      <c r="C45" s="242"/>
      <c r="D45" s="228" t="s">
        <v>139</v>
      </c>
      <c r="E45" s="249"/>
      <c r="F45" s="249"/>
      <c r="G45" s="249"/>
      <c r="H45" s="249"/>
      <c r="I45" s="249"/>
      <c r="K45"/>
    </row>
    <row r="46" spans="1:18">
      <c r="A46" s="226" t="s">
        <v>246</v>
      </c>
      <c r="B46" s="256"/>
      <c r="C46" s="242"/>
      <c r="D46" s="228" t="s">
        <v>137</v>
      </c>
      <c r="E46" s="249"/>
      <c r="F46" s="249"/>
      <c r="G46" s="249"/>
      <c r="H46" s="249"/>
      <c r="I46" s="249"/>
      <c r="K46"/>
    </row>
    <row r="47" spans="1:18" ht="13.5" thickBot="1">
      <c r="A47" s="226" t="s">
        <v>247</v>
      </c>
      <c r="B47" s="256"/>
      <c r="C47" s="242"/>
      <c r="D47" s="228" t="s">
        <v>137</v>
      </c>
      <c r="E47" s="249"/>
      <c r="F47" s="249"/>
      <c r="G47" s="201"/>
      <c r="H47" s="201"/>
      <c r="I47" s="201"/>
      <c r="J47" s="5"/>
      <c r="K47" s="201"/>
      <c r="L47" s="201"/>
      <c r="M47" s="201"/>
      <c r="N47" s="201"/>
      <c r="O47" s="201"/>
      <c r="P47" s="201"/>
      <c r="Q47" s="201"/>
      <c r="R47" s="201"/>
    </row>
    <row r="48" spans="1:18">
      <c r="A48" s="220" t="s">
        <v>231</v>
      </c>
      <c r="B48" s="221"/>
      <c r="C48" s="222" t="s">
        <v>232</v>
      </c>
      <c r="D48" s="223" t="s">
        <v>233</v>
      </c>
      <c r="E48" s="249"/>
      <c r="F48" s="249"/>
      <c r="G48" s="249"/>
      <c r="H48" s="249"/>
      <c r="I48" s="249"/>
      <c r="J48" s="249"/>
      <c r="K48" s="249"/>
      <c r="L48" s="249"/>
      <c r="M48" s="249"/>
      <c r="N48" s="249"/>
    </row>
    <row r="49" spans="1:12">
      <c r="A49" s="226" t="s">
        <v>234</v>
      </c>
      <c r="B49" s="139"/>
      <c r="C49" s="227">
        <v>1</v>
      </c>
      <c r="D49" s="228" t="s">
        <v>142</v>
      </c>
      <c r="E49" s="249"/>
      <c r="F49" s="249"/>
      <c r="G49" s="249"/>
      <c r="H49" s="249"/>
      <c r="I49" s="249"/>
      <c r="K49"/>
    </row>
    <row r="50" spans="1:12">
      <c r="A50" s="226" t="s">
        <v>235</v>
      </c>
      <c r="B50" s="139"/>
      <c r="C50" s="227"/>
      <c r="D50" s="228" t="s">
        <v>148</v>
      </c>
      <c r="E50" s="249"/>
      <c r="F50" s="249"/>
      <c r="G50" s="249"/>
      <c r="H50" s="249"/>
      <c r="I50" s="249"/>
      <c r="K50"/>
    </row>
    <row r="51" spans="1:12" ht="13.5" thickBot="1">
      <c r="A51" s="243" t="s">
        <v>236</v>
      </c>
      <c r="B51" s="147"/>
      <c r="C51" s="257">
        <v>0</v>
      </c>
      <c r="D51" s="258" t="s">
        <v>137</v>
      </c>
      <c r="E51" s="249"/>
      <c r="F51" s="249"/>
      <c r="G51" s="249"/>
      <c r="H51" s="249"/>
      <c r="I51" s="249"/>
      <c r="J51" s="249"/>
      <c r="K51" s="249"/>
      <c r="L51" s="249"/>
    </row>
    <row r="52" spans="1:12" ht="13.5" thickBot="1">
      <c r="A52" s="253"/>
      <c r="B52" s="249"/>
      <c r="C52" s="249"/>
      <c r="D52" s="249"/>
      <c r="E52" s="249"/>
      <c r="F52" s="249"/>
      <c r="G52" s="249"/>
      <c r="H52" s="249"/>
      <c r="I52" s="249"/>
      <c r="K52"/>
    </row>
    <row r="53" spans="1:12" ht="43.5" customHeight="1">
      <c r="A53" s="247" t="s">
        <v>242</v>
      </c>
      <c r="B53" s="247" t="s">
        <v>266</v>
      </c>
      <c r="C53" s="222" t="s">
        <v>251</v>
      </c>
      <c r="D53" s="222" t="s">
        <v>252</v>
      </c>
      <c r="E53" s="223" t="s">
        <v>253</v>
      </c>
      <c r="F53" s="247" t="s">
        <v>267</v>
      </c>
      <c r="G53" s="222" t="s">
        <v>254</v>
      </c>
      <c r="H53" s="222" t="s">
        <v>255</v>
      </c>
      <c r="I53" s="222" t="s">
        <v>268</v>
      </c>
      <c r="J53" s="223" t="s">
        <v>256</v>
      </c>
      <c r="K53"/>
    </row>
    <row r="54" spans="1:12">
      <c r="A54" s="139" t="s">
        <v>269</v>
      </c>
      <c r="B54" s="248">
        <f>IF(B45="",0,+B45*C45* ((13-MATCH(D45,$B$4:$M$4,FALSE))+$C$49+$C$50+$C$51)/(12+$C$49+$C$50+$C$51))</f>
        <v>0</v>
      </c>
      <c r="C54" s="249">
        <f>IF((B45)&lt;'[2]G personal 2'!$A$91,0,VLOOKUP((B45),'[2]G personal 2'!$A$91:$B$132,2,TRUE))</f>
        <v>0</v>
      </c>
      <c r="D54" s="249">
        <f>(IF(B45=0,0,IF(F54&gt;B$25,(B$25*$B$23*(13-MATCH(D45,$B$4:$M$4,FALSE))),IF(F54&lt;B$24,(B$24*$B$23*(13-MATCH(D45,$B$4:$M$4,FALSE))),F54*(13-MATCH(D45,$B$4:$M$4,FALSE))*$B$23))))*C45</f>
        <v>0</v>
      </c>
      <c r="E54" s="250">
        <f>+B54+D54</f>
        <v>0</v>
      </c>
      <c r="F54" s="248">
        <f>IF(B45="",0,+(B45/(12+$C$49+$C$50+$C$51)))</f>
        <v>0</v>
      </c>
      <c r="G54" s="249">
        <f>+C45</f>
        <v>0</v>
      </c>
      <c r="H54" s="249">
        <f>+(F54*G54)*(C54/100)</f>
        <v>0</v>
      </c>
      <c r="I54" s="249">
        <f>+(IF(F54=0,0,IF(F54&gt;B$25,B$25*$B$22*C45,IF(F54&lt;B$24,B$24*$B$22*C45,+F54*$B$22*C45))))</f>
        <v>0</v>
      </c>
      <c r="J54" s="250">
        <f>+F54*G54-H54-I54</f>
        <v>0</v>
      </c>
      <c r="K54"/>
    </row>
    <row r="55" spans="1:12">
      <c r="A55" s="139" t="s">
        <v>270</v>
      </c>
      <c r="B55" s="248">
        <f>IF(B46="",0,+B46*C46* ((13-MATCH(D46,$B$4:$M$4,FALSE))+$C$49+$C$50+$C$51)/(12+$C$49+$C$50+$C$51))</f>
        <v>0</v>
      </c>
      <c r="C55" s="249">
        <f>IF((B46)&lt;'[2]G personal 2'!$A$91,0,VLOOKUP((B46),'[2]G personal 2'!$A$91:$B$132,2,TRUE))</f>
        <v>0</v>
      </c>
      <c r="D55" s="249">
        <f>(IF(B46=0,0,IF(F55&gt;B$25,(B$25*$B$23*(13-MATCH(D46,$B$4:$M$4,FALSE))),IF(F55&lt;B$24,(B$24*$B$23*(13-MATCH(D46,$B$4:$M$4,FALSE))),F55*(13-MATCH(D46,$B$4:$M$4,FALSE))*$B$23))))*C46</f>
        <v>0</v>
      </c>
      <c r="E55" s="250">
        <f>+B55+D55</f>
        <v>0</v>
      </c>
      <c r="F55" s="248">
        <f>IF(B46="",0,+(B46/(12+$C$49+$C$50+$C$51)))</f>
        <v>0</v>
      </c>
      <c r="G55" s="249">
        <f>+C46</f>
        <v>0</v>
      </c>
      <c r="H55" s="249">
        <f>+(F55*G55)*(C55/100)</f>
        <v>0</v>
      </c>
      <c r="I55" s="249">
        <f>+(IF(F55=0,0,IF(F55&gt;B$25,B$25*$B$22*C46,IF(F55&lt;B$24,B$24*$B$22*C46,+F55*$B$22*C46))))</f>
        <v>0</v>
      </c>
      <c r="J55" s="250">
        <f>+F55*G55-H55-I55</f>
        <v>0</v>
      </c>
      <c r="K55"/>
    </row>
    <row r="56" spans="1:12">
      <c r="A56" s="139" t="s">
        <v>271</v>
      </c>
      <c r="B56" s="248">
        <f>IF(B47="",0,+B47*C47* ((13-MATCH(D47,$B$4:$M$4,FALSE))+$C$49+$C$50+$C$51)/(12+$C$49+$C$50+$C$51))</f>
        <v>0</v>
      </c>
      <c r="C56" s="249">
        <f>IF((B47)&lt;'[2]G personal 2'!$A$91,0,VLOOKUP((B47),'[2]G personal 2'!$A$91:$B$132,2,TRUE))</f>
        <v>0</v>
      </c>
      <c r="D56" s="249">
        <f>(IF(B47=0,0,IF(F56&gt;B$25,(B$25*$B$23*(13-MATCH(D47,$B$4:$M$4,FALSE))),IF(F56&lt;B$24,(B$24*$B$23*(13-MATCH(D47,$B$4:$M$4,FALSE))),F56*(13-MATCH(D47,$B$4:$M$4,FALSE))*$B$23))))*C47</f>
        <v>0</v>
      </c>
      <c r="E56" s="250">
        <f>+B56+D56</f>
        <v>0</v>
      </c>
      <c r="F56" s="248">
        <f>IF(B47="",0,+(B47/(12+$C$49+$C$50+$C$51)))</f>
        <v>0</v>
      </c>
      <c r="G56" s="249">
        <f>+C47</f>
        <v>0</v>
      </c>
      <c r="H56" s="249">
        <f>+(F56*G56)*(C56/100)</f>
        <v>0</v>
      </c>
      <c r="I56" s="249">
        <f>+(IF(F56=0,0,IF(F56&gt;B$25,B$25*$B$22*C47,IF(F56&lt;B$24,B$24*$B$22*C47,+F56*$B$22*C47))))</f>
        <v>0</v>
      </c>
      <c r="J56" s="250">
        <f>+F56*G56-H56-I56</f>
        <v>0</v>
      </c>
      <c r="K56"/>
    </row>
    <row r="57" spans="1:12" ht="13.5" thickBot="1">
      <c r="A57" s="251" t="s">
        <v>262</v>
      </c>
      <c r="B57" s="252">
        <f t="shared" ref="B57:J57" si="10">SUM(B54:B55)</f>
        <v>0</v>
      </c>
      <c r="C57" s="218"/>
      <c r="D57" s="218">
        <f t="shared" si="10"/>
        <v>0</v>
      </c>
      <c r="E57" s="219">
        <f t="shared" si="10"/>
        <v>0</v>
      </c>
      <c r="F57" s="334"/>
      <c r="G57" s="336"/>
      <c r="H57" s="218">
        <f t="shared" si="10"/>
        <v>0</v>
      </c>
      <c r="I57" s="218">
        <f t="shared" si="10"/>
        <v>0</v>
      </c>
      <c r="J57" s="219">
        <f t="shared" si="10"/>
        <v>0</v>
      </c>
      <c r="K57"/>
    </row>
    <row r="58" spans="1:12" ht="13.5" thickBot="1">
      <c r="K58"/>
    </row>
    <row r="59" spans="1:12" ht="27.75" customHeight="1">
      <c r="A59" s="221" t="s">
        <v>272</v>
      </c>
      <c r="B59" s="259"/>
      <c r="C59" s="222" t="s">
        <v>232</v>
      </c>
      <c r="D59" s="223" t="s">
        <v>233</v>
      </c>
      <c r="E59" s="260"/>
      <c r="F59" s="260"/>
      <c r="G59" s="260"/>
      <c r="H59" s="260"/>
      <c r="I59" s="260"/>
      <c r="J59" s="261"/>
      <c r="K59"/>
      <c r="L59" s="201"/>
    </row>
    <row r="60" spans="1:12">
      <c r="A60" s="139" t="s">
        <v>234</v>
      </c>
      <c r="B60" s="201"/>
      <c r="C60" s="227"/>
      <c r="D60" s="228"/>
      <c r="E60" s="201"/>
      <c r="F60" s="201"/>
      <c r="G60" s="201"/>
      <c r="H60" s="201"/>
      <c r="I60" s="201"/>
      <c r="J60" s="201"/>
      <c r="K60"/>
      <c r="L60" s="201"/>
    </row>
    <row r="61" spans="1:12">
      <c r="A61" s="139" t="s">
        <v>235</v>
      </c>
      <c r="B61" s="201"/>
      <c r="C61" s="227"/>
      <c r="D61" s="228"/>
      <c r="E61" s="201"/>
      <c r="F61" s="201"/>
      <c r="G61" s="201"/>
      <c r="H61" s="201"/>
      <c r="I61" s="201"/>
      <c r="J61" s="201"/>
      <c r="K61"/>
      <c r="L61" s="201"/>
    </row>
    <row r="62" spans="1:12">
      <c r="A62" s="139" t="s">
        <v>236</v>
      </c>
      <c r="B62" s="201"/>
      <c r="C62" s="262"/>
      <c r="D62" s="228"/>
      <c r="E62" s="201"/>
      <c r="F62" s="201"/>
      <c r="G62" s="201"/>
      <c r="H62" s="201"/>
      <c r="I62" s="201"/>
      <c r="J62" s="201"/>
      <c r="K62"/>
      <c r="L62" s="201"/>
    </row>
    <row r="63" spans="1:12">
      <c r="A63" s="139" t="s">
        <v>273</v>
      </c>
      <c r="B63" s="263">
        <v>0.29799999999999999</v>
      </c>
      <c r="C63" s="201"/>
      <c r="D63" s="230"/>
      <c r="E63" s="201"/>
      <c r="F63" s="201"/>
      <c r="G63" s="201"/>
      <c r="H63" s="201"/>
      <c r="I63" s="201"/>
      <c r="J63" s="201"/>
      <c r="K63"/>
      <c r="L63" s="201"/>
    </row>
    <row r="64" spans="1:12" ht="13.5" thickBot="1">
      <c r="A64" s="147" t="s">
        <v>274</v>
      </c>
      <c r="B64" s="264">
        <v>0.26500000000000001</v>
      </c>
      <c r="C64" s="265"/>
      <c r="D64" s="246"/>
      <c r="E64" s="201"/>
      <c r="F64" s="201"/>
      <c r="G64" s="201"/>
      <c r="H64" s="201"/>
      <c r="I64" s="201"/>
      <c r="J64" s="201"/>
      <c r="K64"/>
      <c r="L64" s="201"/>
    </row>
    <row r="65" spans="1:13">
      <c r="A65" s="139"/>
      <c r="B65" s="201"/>
      <c r="C65" s="201"/>
      <c r="D65"/>
      <c r="E65" s="201"/>
      <c r="F65" s="201"/>
      <c r="G65" s="201"/>
      <c r="H65" s="201"/>
      <c r="I65" s="201"/>
      <c r="J65" s="201"/>
      <c r="K65"/>
      <c r="L65" s="201"/>
    </row>
    <row r="66" spans="1:13" s="266" customFormat="1" ht="41.25" customHeight="1">
      <c r="A66" s="236" t="s">
        <v>242</v>
      </c>
      <c r="B66" s="237" t="s">
        <v>275</v>
      </c>
      <c r="C66" s="237" t="s">
        <v>244</v>
      </c>
      <c r="D66" s="237" t="s">
        <v>253</v>
      </c>
      <c r="E66" s="237" t="s">
        <v>276</v>
      </c>
      <c r="F66" s="237" t="s">
        <v>277</v>
      </c>
      <c r="G66" s="237" t="s">
        <v>278</v>
      </c>
      <c r="H66" s="237" t="s">
        <v>279</v>
      </c>
      <c r="I66" s="237" t="s">
        <v>280</v>
      </c>
      <c r="J66" s="237" t="s">
        <v>256</v>
      </c>
      <c r="K66"/>
    </row>
    <row r="67" spans="1:13">
      <c r="A67" s="139" t="s">
        <v>245</v>
      </c>
      <c r="B67" s="242"/>
      <c r="C67" s="242"/>
      <c r="D67" s="12">
        <f>+B67*C67</f>
        <v>0</v>
      </c>
      <c r="E67" s="249">
        <f>+B67*C67/(12+C$60+$C$61+$C$62)</f>
        <v>0</v>
      </c>
      <c r="F67" s="267">
        <v>1000</v>
      </c>
      <c r="G67" s="242" t="s">
        <v>281</v>
      </c>
      <c r="H67" s="268">
        <f>+IF(G67="",0,IF(G67="SI",$B$63,$B$64))</f>
        <v>0.26500000000000001</v>
      </c>
      <c r="I67" s="249">
        <f>+F67*H67*C67</f>
        <v>0</v>
      </c>
      <c r="J67" s="249">
        <f>+E67-I67</f>
        <v>0</v>
      </c>
      <c r="K67"/>
    </row>
    <row r="68" spans="1:13">
      <c r="A68" s="139" t="s">
        <v>246</v>
      </c>
      <c r="B68" s="242"/>
      <c r="C68" s="242"/>
      <c r="D68" s="12">
        <f>+B68*C68</f>
        <v>0</v>
      </c>
      <c r="E68" s="249">
        <f>+(B68*(13-$B$26)+ B68*$C$60/12+B68*$C$61/12+$C$62/12)*C68</f>
        <v>0</v>
      </c>
      <c r="F68" s="267"/>
      <c r="G68" s="242"/>
      <c r="H68" s="268">
        <f>+IF(G68="",0,IF(G68="SI",$B$63,$B$64))</f>
        <v>0</v>
      </c>
      <c r="I68" s="249">
        <f>+F68*H68*C68</f>
        <v>0</v>
      </c>
      <c r="J68" s="249">
        <f>('[2]G personal 2'!B66*'[2]G personal 2'!C66-I68)</f>
        <v>0</v>
      </c>
      <c r="K68"/>
    </row>
    <row r="69" spans="1:13">
      <c r="A69" s="139" t="s">
        <v>247</v>
      </c>
      <c r="B69" s="242"/>
      <c r="C69" s="242"/>
      <c r="D69" s="12">
        <f>+B69*C69</f>
        <v>0</v>
      </c>
      <c r="E69" s="249">
        <f>+(B69*(13-$B$26)+ B69*$C$60/12+B69*$C$61/12+$C$62/12)*C69</f>
        <v>0</v>
      </c>
      <c r="F69" s="267"/>
      <c r="G69" s="242"/>
      <c r="H69" s="268">
        <f>+IF(G69="",0,IF(G69="SI",$B$63,$B$64))</f>
        <v>0</v>
      </c>
      <c r="I69" s="249">
        <f>+F69*H69*C69</f>
        <v>0</v>
      </c>
      <c r="J69" s="249">
        <f>('[2]G personal 2'!B67*'[2]G personal 2'!C67-I69)</f>
        <v>0</v>
      </c>
      <c r="K69"/>
    </row>
    <row r="70" spans="1:13">
      <c r="A70" s="139" t="s">
        <v>248</v>
      </c>
      <c r="B70" s="242"/>
      <c r="C70" s="242"/>
      <c r="D70" s="12">
        <f>+B70*C70</f>
        <v>0</v>
      </c>
      <c r="E70" s="249">
        <f>+(B70*(13-$B$26)+ B70*$C$60/12+B70*$C$61/12+$C$62/12)*C70</f>
        <v>0</v>
      </c>
      <c r="F70" s="267"/>
      <c r="G70" s="242"/>
      <c r="H70" s="268">
        <f>+IF(G70="",0,IF(G70="SI",$B$63,$B$64))</f>
        <v>0</v>
      </c>
      <c r="I70" s="249">
        <f>+F70*H70*C70</f>
        <v>0</v>
      </c>
      <c r="J70" s="249">
        <f>('[2]G personal 2'!B68*'[2]G personal 2'!C68-I70)</f>
        <v>0</v>
      </c>
      <c r="K70"/>
    </row>
    <row r="71" spans="1:13">
      <c r="A71" s="139" t="s">
        <v>249</v>
      </c>
      <c r="B71" s="242"/>
      <c r="C71" s="242"/>
      <c r="D71" s="12">
        <f>+B71*C71</f>
        <v>0</v>
      </c>
      <c r="E71" s="249">
        <f>+(B71*(13-$B$26)+ B71*$C$60/12+B71*$C$61/12+$C$62/12)*C71</f>
        <v>0</v>
      </c>
      <c r="F71" s="267"/>
      <c r="G71" s="242"/>
      <c r="H71" s="268">
        <f>+IF(G71="",0,IF(G71="SI",$B$63,$B$64))</f>
        <v>0</v>
      </c>
      <c r="I71" s="249">
        <f>+F71*H71*C71</f>
        <v>0</v>
      </c>
      <c r="J71" s="249">
        <f>('[2]G personal 2'!B69*'[2]G personal 2'!C69-I71)</f>
        <v>0</v>
      </c>
      <c r="K71"/>
    </row>
    <row r="72" spans="1:13" ht="13.5" thickBot="1">
      <c r="A72" s="251" t="s">
        <v>262</v>
      </c>
      <c r="B72" s="218"/>
      <c r="C72" s="269"/>
      <c r="D72" s="270">
        <f>SUM(D67:D71)</f>
        <v>0</v>
      </c>
      <c r="E72" s="218">
        <f>SUM(E67:E71)</f>
        <v>0</v>
      </c>
      <c r="F72" s="269"/>
      <c r="G72" s="269"/>
      <c r="H72" s="269"/>
      <c r="I72" s="218">
        <f>SUM(I67:I71)</f>
        <v>0</v>
      </c>
      <c r="J72" s="218">
        <f>SUM(J67:J71)</f>
        <v>0</v>
      </c>
      <c r="K72"/>
    </row>
    <row r="73" spans="1:13" ht="14.25" customHeight="1">
      <c r="K73"/>
      <c r="M73" s="208"/>
    </row>
    <row r="74" spans="1:13">
      <c r="A74" s="201"/>
      <c r="K74"/>
    </row>
    <row r="75" spans="1:13" ht="12.75" customHeight="1">
      <c r="K75"/>
    </row>
    <row r="86" spans="1:14">
      <c r="N86" s="208"/>
    </row>
    <row r="87" spans="1:14">
      <c r="B87" s="12"/>
      <c r="C87" s="12"/>
      <c r="D87" s="12"/>
      <c r="E87" s="12"/>
      <c r="F87" s="12"/>
      <c r="G87" s="12"/>
      <c r="H87" s="12"/>
      <c r="I87" s="12"/>
      <c r="J87" s="12"/>
      <c r="K87" s="12"/>
      <c r="L87" s="12"/>
      <c r="M87" s="12"/>
      <c r="N87" s="208"/>
    </row>
    <row r="88" spans="1:14">
      <c r="B88" s="12"/>
      <c r="C88" s="12"/>
      <c r="D88" s="12"/>
      <c r="E88" s="12"/>
      <c r="F88" s="12"/>
      <c r="G88" s="12"/>
      <c r="H88" s="12"/>
      <c r="I88" s="12"/>
      <c r="J88" s="12"/>
      <c r="K88" s="12"/>
      <c r="L88" s="12"/>
      <c r="M88" s="12"/>
    </row>
    <row r="89" spans="1:14">
      <c r="B89" s="208"/>
      <c r="C89" s="208"/>
      <c r="D89" s="208"/>
      <c r="E89" s="208"/>
      <c r="F89" s="208"/>
      <c r="G89" s="208"/>
      <c r="H89" s="208"/>
      <c r="I89" s="208"/>
      <c r="J89" s="208"/>
      <c r="K89" s="208"/>
      <c r="L89" s="208"/>
      <c r="M89" s="208"/>
      <c r="N89" s="208"/>
    </row>
    <row r="90" spans="1:14">
      <c r="A90" s="271" t="s">
        <v>282</v>
      </c>
      <c r="B90" s="272"/>
      <c r="C90" s="272"/>
      <c r="D90" s="272"/>
      <c r="E90" s="272"/>
      <c r="F90" s="272"/>
      <c r="G90" s="272"/>
      <c r="H90" s="272"/>
      <c r="I90" s="272"/>
      <c r="J90" s="272"/>
      <c r="K90" s="272"/>
      <c r="L90" s="272"/>
      <c r="M90" s="273"/>
    </row>
    <row r="91" spans="1:14">
      <c r="A91" s="274" t="s">
        <v>283</v>
      </c>
      <c r="B91" s="275" t="s">
        <v>284</v>
      </c>
      <c r="C91" s="276"/>
      <c r="D91" s="276"/>
      <c r="E91" s="276"/>
      <c r="F91" s="276"/>
      <c r="G91" s="276"/>
      <c r="H91" s="276"/>
      <c r="I91" s="276"/>
      <c r="J91" s="276"/>
      <c r="K91" s="276"/>
      <c r="L91" s="276"/>
      <c r="M91" s="277"/>
    </row>
    <row r="92" spans="1:14">
      <c r="A92" s="278" t="s">
        <v>285</v>
      </c>
      <c r="B92" s="279">
        <v>0</v>
      </c>
      <c r="C92" s="279">
        <v>1</v>
      </c>
      <c r="D92" s="279">
        <v>2</v>
      </c>
      <c r="E92" s="279">
        <v>3</v>
      </c>
      <c r="F92" s="279">
        <v>4</v>
      </c>
      <c r="G92" s="279">
        <v>5</v>
      </c>
      <c r="H92" s="280" t="s">
        <v>286</v>
      </c>
      <c r="I92" s="279"/>
      <c r="J92" s="279"/>
      <c r="K92" s="279"/>
      <c r="L92" s="279"/>
      <c r="M92" s="280"/>
    </row>
    <row r="93" spans="1:14">
      <c r="A93" s="281">
        <v>8269.93</v>
      </c>
      <c r="B93" s="282">
        <v>0</v>
      </c>
      <c r="C93" s="282">
        <v>0</v>
      </c>
      <c r="D93" s="282">
        <v>0</v>
      </c>
      <c r="E93" s="282">
        <v>0</v>
      </c>
      <c r="F93" s="282">
        <v>0</v>
      </c>
      <c r="G93" s="282">
        <v>0</v>
      </c>
      <c r="H93" s="282">
        <v>0</v>
      </c>
      <c r="I93" s="282">
        <v>0</v>
      </c>
      <c r="J93" s="282">
        <v>0</v>
      </c>
      <c r="K93" s="282"/>
      <c r="L93" s="283"/>
      <c r="M93" s="283"/>
    </row>
    <row r="94" spans="1:14">
      <c r="A94" s="284">
        <v>8269.93</v>
      </c>
      <c r="B94" s="282">
        <v>1</v>
      </c>
      <c r="C94" s="282">
        <v>0</v>
      </c>
      <c r="D94" s="282">
        <v>0</v>
      </c>
      <c r="E94" s="282">
        <v>0</v>
      </c>
      <c r="F94" s="282">
        <v>0</v>
      </c>
      <c r="G94" s="282">
        <v>0</v>
      </c>
      <c r="H94" s="282">
        <v>0</v>
      </c>
      <c r="I94" s="282">
        <v>0</v>
      </c>
      <c r="J94" s="282">
        <v>0</v>
      </c>
      <c r="K94" s="282"/>
      <c r="L94" s="283"/>
      <c r="M94" s="283"/>
    </row>
    <row r="95" spans="1:14">
      <c r="A95" s="284">
        <v>8726.7000000000007</v>
      </c>
      <c r="B95" s="282">
        <v>2</v>
      </c>
      <c r="C95" s="282">
        <v>0</v>
      </c>
      <c r="D95" s="282">
        <v>0</v>
      </c>
      <c r="E95" s="282">
        <v>0</v>
      </c>
      <c r="F95" s="282">
        <v>0</v>
      </c>
      <c r="G95" s="282">
        <v>0</v>
      </c>
      <c r="H95" s="282">
        <v>0</v>
      </c>
      <c r="I95" s="282">
        <v>0</v>
      </c>
      <c r="J95" s="282">
        <v>0</v>
      </c>
      <c r="K95" s="282"/>
      <c r="L95" s="283"/>
      <c r="M95" s="283"/>
    </row>
    <row r="96" spans="1:14">
      <c r="A96" s="284">
        <v>9237.56</v>
      </c>
      <c r="B96" s="282">
        <v>3</v>
      </c>
      <c r="C96" s="282">
        <v>1</v>
      </c>
      <c r="D96" s="282">
        <v>0</v>
      </c>
      <c r="E96" s="282">
        <v>0</v>
      </c>
      <c r="F96" s="282">
        <v>0</v>
      </c>
      <c r="G96" s="282">
        <v>0</v>
      </c>
      <c r="H96" s="282">
        <v>0</v>
      </c>
      <c r="I96" s="282">
        <v>0</v>
      </c>
      <c r="J96" s="282">
        <v>0</v>
      </c>
      <c r="K96" s="282"/>
      <c r="L96" s="283"/>
      <c r="M96" s="283"/>
    </row>
    <row r="97" spans="1:13">
      <c r="A97" s="284">
        <v>9808.52</v>
      </c>
      <c r="B97" s="282">
        <v>4</v>
      </c>
      <c r="C97" s="282">
        <v>2</v>
      </c>
      <c r="D97" s="282">
        <v>0</v>
      </c>
      <c r="E97" s="282">
        <v>0</v>
      </c>
      <c r="F97" s="282">
        <v>0</v>
      </c>
      <c r="G97" s="282">
        <v>0</v>
      </c>
      <c r="H97" s="282">
        <v>0</v>
      </c>
      <c r="I97" s="282">
        <v>0</v>
      </c>
      <c r="J97" s="282">
        <v>0</v>
      </c>
      <c r="K97" s="282"/>
      <c r="L97" s="283"/>
      <c r="M97" s="283"/>
    </row>
    <row r="98" spans="1:13">
      <c r="A98" s="284">
        <v>10457.620000000001</v>
      </c>
      <c r="B98" s="282">
        <v>5</v>
      </c>
      <c r="C98" s="282">
        <v>3</v>
      </c>
      <c r="D98" s="282">
        <v>1</v>
      </c>
      <c r="E98" s="282">
        <v>0</v>
      </c>
      <c r="F98" s="282">
        <v>0</v>
      </c>
      <c r="G98" s="282">
        <v>0</v>
      </c>
      <c r="H98" s="282">
        <v>0</v>
      </c>
      <c r="I98" s="282">
        <v>0</v>
      </c>
      <c r="J98" s="282">
        <v>0</v>
      </c>
      <c r="K98" s="282"/>
      <c r="L98" s="283"/>
      <c r="M98" s="283"/>
    </row>
    <row r="99" spans="1:13">
      <c r="A99" s="284">
        <v>11082.67</v>
      </c>
      <c r="B99" s="282">
        <v>6</v>
      </c>
      <c r="C99" s="282">
        <v>4</v>
      </c>
      <c r="D99" s="282">
        <v>2</v>
      </c>
      <c r="E99" s="282">
        <v>0</v>
      </c>
      <c r="F99" s="282">
        <v>0</v>
      </c>
      <c r="G99" s="282">
        <v>0</v>
      </c>
      <c r="H99" s="282">
        <v>0</v>
      </c>
      <c r="I99" s="282">
        <v>0</v>
      </c>
      <c r="J99" s="282">
        <v>0</v>
      </c>
      <c r="K99" s="282"/>
      <c r="L99" s="283"/>
      <c r="M99" s="283"/>
    </row>
    <row r="100" spans="1:13">
      <c r="A100" s="284">
        <v>11581.51</v>
      </c>
      <c r="B100" s="282">
        <v>7</v>
      </c>
      <c r="C100" s="282">
        <v>5</v>
      </c>
      <c r="D100" s="282">
        <v>3</v>
      </c>
      <c r="E100" s="282">
        <v>0</v>
      </c>
      <c r="F100" s="282">
        <v>0</v>
      </c>
      <c r="G100" s="282">
        <v>0</v>
      </c>
      <c r="H100" s="282">
        <v>0</v>
      </c>
      <c r="I100" s="282">
        <v>0</v>
      </c>
      <c r="J100" s="282">
        <v>0</v>
      </c>
      <c r="K100" s="282"/>
      <c r="L100" s="283"/>
      <c r="M100" s="283"/>
    </row>
    <row r="101" spans="1:13">
      <c r="A101" s="284">
        <v>12128.43</v>
      </c>
      <c r="B101" s="282">
        <v>8</v>
      </c>
      <c r="C101" s="282">
        <v>6</v>
      </c>
      <c r="D101" s="282">
        <v>5</v>
      </c>
      <c r="E101" s="282">
        <v>2</v>
      </c>
      <c r="F101" s="282">
        <v>0</v>
      </c>
      <c r="G101" s="282">
        <v>0</v>
      </c>
      <c r="H101" s="282">
        <v>0</v>
      </c>
      <c r="I101" s="282">
        <v>0</v>
      </c>
      <c r="J101" s="282">
        <v>0</v>
      </c>
      <c r="K101" s="282"/>
      <c r="L101" s="283"/>
      <c r="M101" s="283"/>
    </row>
    <row r="102" spans="1:13">
      <c r="A102" s="284">
        <v>12723.43</v>
      </c>
      <c r="B102" s="282">
        <v>9</v>
      </c>
      <c r="C102" s="282">
        <v>8</v>
      </c>
      <c r="D102" s="282">
        <v>6</v>
      </c>
      <c r="E102" s="282">
        <v>3</v>
      </c>
      <c r="F102" s="282">
        <v>0</v>
      </c>
      <c r="G102" s="282">
        <v>0</v>
      </c>
      <c r="H102" s="282">
        <v>0</v>
      </c>
      <c r="I102" s="282">
        <v>0</v>
      </c>
      <c r="J102" s="282">
        <v>0</v>
      </c>
      <c r="K102" s="282"/>
      <c r="L102" s="283"/>
      <c r="M102" s="283"/>
    </row>
    <row r="103" spans="1:13">
      <c r="A103" s="284">
        <v>13384.55</v>
      </c>
      <c r="B103" s="282">
        <v>10</v>
      </c>
      <c r="C103" s="282">
        <v>9</v>
      </c>
      <c r="D103" s="282">
        <v>7</v>
      </c>
      <c r="E103" s="282">
        <v>4</v>
      </c>
      <c r="F103" s="282">
        <v>2</v>
      </c>
      <c r="G103" s="282">
        <v>0</v>
      </c>
      <c r="H103" s="282">
        <v>0</v>
      </c>
      <c r="I103" s="282">
        <v>0</v>
      </c>
      <c r="J103" s="282">
        <v>0</v>
      </c>
      <c r="K103" s="282"/>
      <c r="L103" s="283"/>
      <c r="M103" s="283"/>
    </row>
    <row r="104" spans="1:13">
      <c r="A104" s="284">
        <v>14117.78</v>
      </c>
      <c r="B104" s="282">
        <v>11</v>
      </c>
      <c r="C104" s="282">
        <v>10</v>
      </c>
      <c r="D104" s="282">
        <v>8</v>
      </c>
      <c r="E104" s="282">
        <v>6</v>
      </c>
      <c r="F104" s="282">
        <v>3</v>
      </c>
      <c r="G104" s="282">
        <v>1</v>
      </c>
      <c r="H104" s="282">
        <v>0</v>
      </c>
      <c r="I104" s="282">
        <v>0</v>
      </c>
      <c r="J104" s="282">
        <v>0</v>
      </c>
      <c r="K104" s="282"/>
      <c r="L104" s="283"/>
      <c r="M104" s="283"/>
    </row>
    <row r="105" spans="1:13">
      <c r="A105" s="284">
        <v>14935.16</v>
      </c>
      <c r="B105" s="282">
        <v>12</v>
      </c>
      <c r="C105" s="282">
        <v>11</v>
      </c>
      <c r="D105" s="282">
        <v>9</v>
      </c>
      <c r="E105" s="282">
        <v>7</v>
      </c>
      <c r="F105" s="282">
        <v>5</v>
      </c>
      <c r="G105" s="282">
        <v>2</v>
      </c>
      <c r="H105" s="282">
        <v>0</v>
      </c>
      <c r="I105" s="282">
        <v>0</v>
      </c>
      <c r="J105" s="282">
        <v>0</v>
      </c>
      <c r="K105" s="282"/>
      <c r="L105" s="283"/>
      <c r="M105" s="283"/>
    </row>
    <row r="106" spans="1:13">
      <c r="A106" s="284">
        <v>15854.71</v>
      </c>
      <c r="B106" s="282">
        <v>13</v>
      </c>
      <c r="C106" s="282">
        <v>12</v>
      </c>
      <c r="D106" s="282">
        <v>10</v>
      </c>
      <c r="E106" s="282">
        <v>8</v>
      </c>
      <c r="F106" s="282">
        <v>6</v>
      </c>
      <c r="G106" s="282">
        <v>4</v>
      </c>
      <c r="H106" s="282">
        <v>0</v>
      </c>
      <c r="I106" s="282">
        <v>0</v>
      </c>
      <c r="J106" s="282">
        <v>0</v>
      </c>
      <c r="K106" s="282"/>
      <c r="L106" s="283"/>
      <c r="M106" s="283"/>
    </row>
    <row r="107" spans="1:13">
      <c r="A107" s="284">
        <v>17327.189999999999</v>
      </c>
      <c r="B107" s="282">
        <v>14</v>
      </c>
      <c r="C107" s="282">
        <v>13</v>
      </c>
      <c r="D107" s="282">
        <v>11</v>
      </c>
      <c r="E107" s="282">
        <v>9</v>
      </c>
      <c r="F107" s="282">
        <v>7</v>
      </c>
      <c r="G107" s="282">
        <v>5</v>
      </c>
      <c r="H107" s="282">
        <v>0</v>
      </c>
      <c r="I107" s="282">
        <v>0</v>
      </c>
      <c r="J107" s="282">
        <v>0</v>
      </c>
      <c r="K107" s="282"/>
      <c r="L107" s="283"/>
      <c r="M107" s="283"/>
    </row>
    <row r="108" spans="1:13">
      <c r="A108" s="284">
        <v>20308.21</v>
      </c>
      <c r="B108" s="282">
        <v>15</v>
      </c>
      <c r="C108" s="282">
        <v>14</v>
      </c>
      <c r="D108" s="282">
        <v>13</v>
      </c>
      <c r="E108" s="282">
        <v>11</v>
      </c>
      <c r="F108" s="282">
        <v>9</v>
      </c>
      <c r="G108" s="282">
        <v>7</v>
      </c>
      <c r="H108" s="282">
        <v>2</v>
      </c>
      <c r="I108" s="282">
        <v>0</v>
      </c>
      <c r="J108" s="282">
        <v>0</v>
      </c>
      <c r="K108" s="282"/>
      <c r="L108" s="283"/>
      <c r="M108" s="283"/>
    </row>
    <row r="109" spans="1:13">
      <c r="A109" s="284">
        <v>22604.07</v>
      </c>
      <c r="B109" s="282">
        <v>16</v>
      </c>
      <c r="C109" s="282">
        <v>15</v>
      </c>
      <c r="D109" s="282">
        <v>14</v>
      </c>
      <c r="E109" s="282">
        <v>12</v>
      </c>
      <c r="F109" s="282">
        <v>11</v>
      </c>
      <c r="G109" s="282">
        <v>9</v>
      </c>
      <c r="H109" s="282">
        <v>4</v>
      </c>
      <c r="I109" s="282">
        <v>0</v>
      </c>
      <c r="J109" s="282">
        <v>0</v>
      </c>
      <c r="K109" s="282"/>
      <c r="L109" s="283"/>
      <c r="M109" s="283"/>
    </row>
    <row r="110" spans="1:13">
      <c r="A110" s="284">
        <v>24611.45</v>
      </c>
      <c r="B110" s="282">
        <v>17</v>
      </c>
      <c r="C110" s="282">
        <v>16</v>
      </c>
      <c r="D110" s="282">
        <v>15</v>
      </c>
      <c r="E110" s="282">
        <v>14</v>
      </c>
      <c r="F110" s="282">
        <v>12</v>
      </c>
      <c r="G110" s="282">
        <v>10</v>
      </c>
      <c r="H110" s="282">
        <v>6</v>
      </c>
      <c r="I110" s="282">
        <v>0</v>
      </c>
      <c r="J110" s="282">
        <v>0</v>
      </c>
      <c r="K110" s="282"/>
      <c r="L110" s="283"/>
      <c r="M110" s="283"/>
    </row>
    <row r="111" spans="1:13">
      <c r="A111" s="284">
        <v>27021.51</v>
      </c>
      <c r="B111" s="282">
        <v>18</v>
      </c>
      <c r="C111" s="282">
        <v>17</v>
      </c>
      <c r="D111" s="282">
        <v>16</v>
      </c>
      <c r="E111" s="282">
        <v>15</v>
      </c>
      <c r="F111" s="282">
        <v>13</v>
      </c>
      <c r="G111" s="282">
        <v>12</v>
      </c>
      <c r="H111" s="282">
        <v>8</v>
      </c>
      <c r="I111" s="282">
        <v>0</v>
      </c>
      <c r="J111" s="282">
        <v>0</v>
      </c>
      <c r="K111" s="282"/>
      <c r="L111" s="283"/>
      <c r="M111" s="283"/>
    </row>
    <row r="112" spans="1:13">
      <c r="A112" s="284">
        <v>29954.45</v>
      </c>
      <c r="B112" s="282">
        <v>19</v>
      </c>
      <c r="C112" s="282">
        <v>18</v>
      </c>
      <c r="D112" s="282">
        <v>17</v>
      </c>
      <c r="E112" s="282">
        <v>16</v>
      </c>
      <c r="F112" s="282">
        <v>15</v>
      </c>
      <c r="G112" s="282">
        <v>14</v>
      </c>
      <c r="H112" s="282">
        <v>10</v>
      </c>
      <c r="I112" s="282">
        <v>0</v>
      </c>
      <c r="J112" s="282">
        <v>0</v>
      </c>
      <c r="K112" s="282"/>
      <c r="L112" s="283"/>
      <c r="M112" s="283"/>
    </row>
    <row r="113" spans="1:13">
      <c r="A113" s="284">
        <v>33614.61</v>
      </c>
      <c r="B113" s="282">
        <v>20</v>
      </c>
      <c r="C113" s="282">
        <v>19</v>
      </c>
      <c r="D113" s="282">
        <v>19</v>
      </c>
      <c r="E113" s="282">
        <v>18</v>
      </c>
      <c r="F113" s="282">
        <v>16</v>
      </c>
      <c r="G113" s="282">
        <v>15</v>
      </c>
      <c r="H113" s="282">
        <v>12</v>
      </c>
      <c r="I113" s="282">
        <v>0</v>
      </c>
      <c r="J113" s="282">
        <v>0</v>
      </c>
      <c r="K113" s="282"/>
      <c r="L113" s="283"/>
      <c r="M113" s="283"/>
    </row>
    <row r="114" spans="1:13">
      <c r="A114" s="284">
        <v>37256.75</v>
      </c>
      <c r="B114" s="282">
        <v>21</v>
      </c>
      <c r="C114" s="282">
        <v>20</v>
      </c>
      <c r="D114" s="282">
        <v>20</v>
      </c>
      <c r="E114" s="282">
        <v>19</v>
      </c>
      <c r="F114" s="282">
        <v>18</v>
      </c>
      <c r="G114" s="282">
        <v>17</v>
      </c>
      <c r="H114" s="282">
        <v>14</v>
      </c>
      <c r="I114" s="282">
        <v>0</v>
      </c>
      <c r="J114" s="282">
        <v>0</v>
      </c>
      <c r="K114" s="282"/>
      <c r="L114" s="283"/>
      <c r="M114" s="283"/>
    </row>
    <row r="115" spans="1:13">
      <c r="A115" s="284">
        <v>39931.25</v>
      </c>
      <c r="B115" s="282">
        <v>22</v>
      </c>
      <c r="C115" s="282">
        <v>21</v>
      </c>
      <c r="D115" s="282">
        <v>21</v>
      </c>
      <c r="E115" s="282">
        <v>20</v>
      </c>
      <c r="F115" s="282">
        <v>19</v>
      </c>
      <c r="G115" s="282">
        <v>18</v>
      </c>
      <c r="H115" s="282">
        <v>15</v>
      </c>
      <c r="I115" s="282">
        <v>0</v>
      </c>
      <c r="J115" s="282">
        <v>0</v>
      </c>
      <c r="K115" s="282"/>
      <c r="L115" s="283"/>
      <c r="M115" s="283"/>
    </row>
    <row r="116" spans="1:13">
      <c r="A116" s="284">
        <v>42593.73</v>
      </c>
      <c r="B116" s="282">
        <v>23</v>
      </c>
      <c r="C116" s="282">
        <v>23</v>
      </c>
      <c r="D116" s="282">
        <v>22</v>
      </c>
      <c r="E116" s="282">
        <v>21</v>
      </c>
      <c r="F116" s="282">
        <v>20</v>
      </c>
      <c r="G116" s="282">
        <v>19</v>
      </c>
      <c r="H116" s="282">
        <v>16</v>
      </c>
      <c r="I116" s="282">
        <v>0</v>
      </c>
      <c r="J116" s="282">
        <v>0</v>
      </c>
      <c r="K116" s="282"/>
      <c r="L116" s="283"/>
      <c r="M116" s="283"/>
    </row>
    <row r="117" spans="1:13">
      <c r="A117" s="284">
        <v>45646.879999999997</v>
      </c>
      <c r="B117" s="282">
        <v>24</v>
      </c>
      <c r="C117" s="282">
        <v>23</v>
      </c>
      <c r="D117" s="282">
        <v>23</v>
      </c>
      <c r="E117" s="282">
        <v>22</v>
      </c>
      <c r="F117" s="282">
        <v>21</v>
      </c>
      <c r="G117" s="282">
        <v>20</v>
      </c>
      <c r="H117" s="282">
        <v>17</v>
      </c>
      <c r="I117" s="282">
        <v>0</v>
      </c>
      <c r="J117" s="282">
        <v>0</v>
      </c>
      <c r="K117" s="282"/>
      <c r="L117" s="283"/>
      <c r="M117" s="283"/>
    </row>
    <row r="118" spans="1:13">
      <c r="A118" s="284">
        <v>49168.81</v>
      </c>
      <c r="B118" s="282">
        <v>25</v>
      </c>
      <c r="C118" s="282">
        <v>25</v>
      </c>
      <c r="D118" s="282">
        <v>24</v>
      </c>
      <c r="E118" s="282">
        <v>23</v>
      </c>
      <c r="F118" s="282">
        <v>22</v>
      </c>
      <c r="G118" s="282">
        <v>22</v>
      </c>
      <c r="H118" s="282">
        <v>19</v>
      </c>
      <c r="I118" s="282">
        <v>0</v>
      </c>
      <c r="J118" s="282">
        <v>0</v>
      </c>
      <c r="K118" s="282"/>
      <c r="L118" s="283"/>
      <c r="M118" s="283"/>
    </row>
    <row r="119" spans="1:13">
      <c r="A119" s="284">
        <v>52143.82</v>
      </c>
      <c r="B119" s="282">
        <v>26</v>
      </c>
      <c r="C119" s="282">
        <v>25</v>
      </c>
      <c r="D119" s="282">
        <v>25</v>
      </c>
      <c r="E119" s="282">
        <v>24</v>
      </c>
      <c r="F119" s="282">
        <v>23</v>
      </c>
      <c r="G119" s="282">
        <v>23</v>
      </c>
      <c r="H119" s="282">
        <v>20</v>
      </c>
      <c r="I119" s="282">
        <v>0</v>
      </c>
      <c r="J119" s="282">
        <v>0</v>
      </c>
      <c r="K119" s="282"/>
      <c r="L119" s="283"/>
      <c r="M119" s="283"/>
    </row>
    <row r="120" spans="1:13">
      <c r="A120" s="284">
        <v>55233.02</v>
      </c>
      <c r="B120" s="282">
        <v>27</v>
      </c>
      <c r="C120" s="282">
        <v>27</v>
      </c>
      <c r="D120" s="282">
        <v>26</v>
      </c>
      <c r="E120" s="282">
        <v>25</v>
      </c>
      <c r="F120" s="282">
        <v>25</v>
      </c>
      <c r="G120" s="282">
        <v>24</v>
      </c>
      <c r="H120" s="282">
        <v>21</v>
      </c>
      <c r="I120" s="282">
        <v>0</v>
      </c>
      <c r="J120" s="282">
        <v>0</v>
      </c>
      <c r="K120" s="282"/>
      <c r="L120" s="283"/>
      <c r="M120" s="283"/>
    </row>
    <row r="121" spans="1:13">
      <c r="A121" s="284">
        <v>58724.9</v>
      </c>
      <c r="B121" s="282">
        <v>28</v>
      </c>
      <c r="C121" s="282">
        <v>28</v>
      </c>
      <c r="D121" s="282">
        <v>27</v>
      </c>
      <c r="E121" s="282">
        <v>27</v>
      </c>
      <c r="F121" s="282">
        <v>26</v>
      </c>
      <c r="G121" s="282">
        <v>25</v>
      </c>
      <c r="H121" s="282">
        <v>22</v>
      </c>
      <c r="I121" s="282">
        <v>0</v>
      </c>
      <c r="J121" s="282">
        <v>0</v>
      </c>
      <c r="K121" s="282"/>
      <c r="L121" s="283"/>
      <c r="M121" s="283"/>
    </row>
    <row r="122" spans="1:13">
      <c r="A122" s="284">
        <v>62685.57</v>
      </c>
      <c r="B122" s="282">
        <v>29</v>
      </c>
      <c r="C122" s="282">
        <v>29</v>
      </c>
      <c r="D122" s="282">
        <v>28</v>
      </c>
      <c r="E122" s="282">
        <v>28</v>
      </c>
      <c r="F122" s="282">
        <v>27</v>
      </c>
      <c r="G122" s="282">
        <v>26</v>
      </c>
      <c r="H122" s="282">
        <v>24</v>
      </c>
      <c r="I122" s="282">
        <v>0</v>
      </c>
      <c r="J122" s="282">
        <v>0</v>
      </c>
      <c r="K122" s="282"/>
      <c r="L122" s="283"/>
      <c r="M122" s="283"/>
    </row>
    <row r="123" spans="1:13">
      <c r="A123" s="284">
        <v>67235.23</v>
      </c>
      <c r="B123" s="282">
        <v>30</v>
      </c>
      <c r="C123" s="282">
        <v>30</v>
      </c>
      <c r="D123" s="282">
        <v>29</v>
      </c>
      <c r="E123" s="282">
        <v>29</v>
      </c>
      <c r="F123" s="282">
        <v>28</v>
      </c>
      <c r="G123" s="282">
        <v>28</v>
      </c>
      <c r="H123" s="282">
        <v>25</v>
      </c>
      <c r="I123" s="282">
        <v>0</v>
      </c>
      <c r="J123" s="282">
        <v>0</v>
      </c>
      <c r="K123" s="282"/>
      <c r="L123" s="283"/>
      <c r="M123" s="283"/>
    </row>
    <row r="124" spans="1:13">
      <c r="A124" s="284">
        <v>72500.100000000006</v>
      </c>
      <c r="B124" s="282">
        <v>31</v>
      </c>
      <c r="C124" s="282">
        <v>31</v>
      </c>
      <c r="D124" s="282">
        <v>30</v>
      </c>
      <c r="E124" s="282">
        <v>30</v>
      </c>
      <c r="F124" s="282">
        <v>29</v>
      </c>
      <c r="G124" s="282">
        <v>29</v>
      </c>
      <c r="H124" s="282">
        <v>27</v>
      </c>
      <c r="I124" s="282">
        <v>0</v>
      </c>
      <c r="J124" s="282">
        <v>0</v>
      </c>
      <c r="K124" s="282"/>
      <c r="L124" s="283"/>
      <c r="M124" s="283"/>
    </row>
    <row r="125" spans="1:13">
      <c r="A125" s="284">
        <v>77470.47</v>
      </c>
      <c r="B125" s="282">
        <v>32</v>
      </c>
      <c r="C125" s="282">
        <v>32</v>
      </c>
      <c r="D125" s="282">
        <v>31</v>
      </c>
      <c r="E125" s="282">
        <v>31</v>
      </c>
      <c r="F125" s="282">
        <v>30</v>
      </c>
      <c r="G125" s="282">
        <v>30</v>
      </c>
      <c r="H125" s="282">
        <v>28</v>
      </c>
      <c r="I125" s="282">
        <v>0</v>
      </c>
      <c r="J125" s="282">
        <v>0</v>
      </c>
      <c r="K125" s="282"/>
      <c r="L125" s="283"/>
      <c r="M125" s="283"/>
    </row>
    <row r="126" spans="1:13">
      <c r="A126" s="284">
        <v>82134.320000000007</v>
      </c>
      <c r="B126" s="282">
        <v>33</v>
      </c>
      <c r="C126" s="282">
        <v>33</v>
      </c>
      <c r="D126" s="282">
        <v>32</v>
      </c>
      <c r="E126" s="282">
        <v>32</v>
      </c>
      <c r="F126" s="282">
        <v>31</v>
      </c>
      <c r="G126" s="282">
        <v>31</v>
      </c>
      <c r="H126" s="282">
        <v>30</v>
      </c>
      <c r="I126" s="282">
        <v>0</v>
      </c>
      <c r="J126" s="282">
        <v>0</v>
      </c>
      <c r="K126" s="282"/>
      <c r="L126" s="283"/>
      <c r="M126" s="283"/>
    </row>
    <row r="127" spans="1:13">
      <c r="A127" s="284">
        <v>87399.19</v>
      </c>
      <c r="B127" s="282">
        <v>34</v>
      </c>
      <c r="C127" s="282">
        <v>34</v>
      </c>
      <c r="D127" s="282">
        <v>33</v>
      </c>
      <c r="E127" s="282">
        <v>33</v>
      </c>
      <c r="F127" s="282">
        <v>33</v>
      </c>
      <c r="G127" s="282">
        <v>32</v>
      </c>
      <c r="H127" s="282">
        <v>31</v>
      </c>
      <c r="I127" s="282">
        <v>0</v>
      </c>
      <c r="J127" s="282">
        <v>0</v>
      </c>
      <c r="K127" s="282"/>
      <c r="L127" s="283"/>
      <c r="M127" s="283"/>
    </row>
    <row r="128" spans="1:13">
      <c r="A128" s="284">
        <v>93343.2</v>
      </c>
      <c r="B128" s="282">
        <v>35</v>
      </c>
      <c r="C128" s="282">
        <v>35</v>
      </c>
      <c r="D128" s="282">
        <v>34</v>
      </c>
      <c r="E128" s="282">
        <v>34</v>
      </c>
      <c r="F128" s="282">
        <v>34</v>
      </c>
      <c r="G128" s="282">
        <v>33</v>
      </c>
      <c r="H128" s="282">
        <v>32</v>
      </c>
      <c r="I128" s="282">
        <v>0</v>
      </c>
      <c r="J128" s="282">
        <v>0</v>
      </c>
      <c r="K128" s="282"/>
      <c r="L128" s="283"/>
      <c r="M128" s="283"/>
    </row>
    <row r="129" spans="1:13">
      <c r="A129" s="284">
        <v>99858.17</v>
      </c>
      <c r="B129" s="282">
        <v>36</v>
      </c>
      <c r="C129" s="282">
        <v>36</v>
      </c>
      <c r="D129" s="282">
        <v>36</v>
      </c>
      <c r="E129" s="282">
        <v>35</v>
      </c>
      <c r="F129" s="282">
        <v>35</v>
      </c>
      <c r="G129" s="282">
        <v>34</v>
      </c>
      <c r="H129" s="282">
        <v>33</v>
      </c>
      <c r="I129" s="282">
        <v>0</v>
      </c>
      <c r="J129" s="282">
        <v>0</v>
      </c>
      <c r="K129" s="282"/>
      <c r="L129" s="283"/>
      <c r="M129" s="283"/>
    </row>
    <row r="130" spans="1:13">
      <c r="A130" s="284">
        <v>107348.78</v>
      </c>
      <c r="B130" s="282">
        <v>37</v>
      </c>
      <c r="C130" s="282">
        <v>37</v>
      </c>
      <c r="D130" s="282">
        <v>37</v>
      </c>
      <c r="E130" s="282">
        <v>36</v>
      </c>
      <c r="F130" s="282">
        <v>36</v>
      </c>
      <c r="G130" s="282">
        <v>35</v>
      </c>
      <c r="H130" s="282">
        <v>34</v>
      </c>
      <c r="I130" s="282">
        <v>0</v>
      </c>
      <c r="J130" s="282">
        <v>0</v>
      </c>
      <c r="K130" s="282"/>
      <c r="L130" s="283"/>
      <c r="M130" s="283"/>
    </row>
    <row r="131" spans="1:13">
      <c r="A131" s="284">
        <v>115941.25</v>
      </c>
      <c r="B131" s="282">
        <v>38</v>
      </c>
      <c r="C131" s="282">
        <v>38</v>
      </c>
      <c r="D131" s="282">
        <v>38</v>
      </c>
      <c r="E131" s="282">
        <v>37</v>
      </c>
      <c r="F131" s="282">
        <v>37</v>
      </c>
      <c r="G131" s="282">
        <v>37</v>
      </c>
      <c r="H131" s="282">
        <v>36</v>
      </c>
      <c r="I131" s="282">
        <v>0</v>
      </c>
      <c r="J131" s="282">
        <v>0</v>
      </c>
      <c r="K131" s="282"/>
      <c r="L131" s="283"/>
      <c r="M131" s="283"/>
    </row>
    <row r="132" spans="1:13">
      <c r="A132" s="284">
        <v>126026.23</v>
      </c>
      <c r="B132" s="282">
        <v>39</v>
      </c>
      <c r="C132" s="282">
        <v>39</v>
      </c>
      <c r="D132" s="282">
        <v>39</v>
      </c>
      <c r="E132" s="282">
        <v>38</v>
      </c>
      <c r="F132" s="282">
        <v>38</v>
      </c>
      <c r="G132" s="282">
        <v>38</v>
      </c>
      <c r="H132" s="282">
        <v>37</v>
      </c>
      <c r="I132" s="282">
        <v>0</v>
      </c>
      <c r="J132" s="282">
        <v>0</v>
      </c>
      <c r="K132" s="282"/>
      <c r="L132" s="283"/>
      <c r="M132" s="283"/>
    </row>
    <row r="133" spans="1:13">
      <c r="A133" s="284">
        <v>138028.45000000001</v>
      </c>
      <c r="B133" s="282">
        <v>40</v>
      </c>
      <c r="C133" s="282">
        <v>40</v>
      </c>
      <c r="D133" s="282">
        <v>40</v>
      </c>
      <c r="E133" s="282">
        <v>39</v>
      </c>
      <c r="F133" s="282">
        <v>39</v>
      </c>
      <c r="G133" s="282">
        <v>39</v>
      </c>
      <c r="H133" s="282">
        <v>38</v>
      </c>
      <c r="I133" s="282">
        <v>0</v>
      </c>
      <c r="J133" s="282">
        <v>0</v>
      </c>
      <c r="K133" s="282"/>
      <c r="L133" s="283"/>
      <c r="M133" s="283"/>
    </row>
    <row r="134" spans="1:13">
      <c r="A134" s="285"/>
      <c r="B134" s="283"/>
      <c r="C134" s="283"/>
      <c r="D134" s="283"/>
      <c r="E134" s="283"/>
      <c r="F134" s="283"/>
      <c r="G134" s="283"/>
      <c r="H134" s="283"/>
      <c r="I134" s="283"/>
      <c r="J134" s="283"/>
      <c r="K134" s="283"/>
      <c r="L134" s="283"/>
      <c r="M134" s="283"/>
    </row>
  </sheetData>
  <mergeCells count="3">
    <mergeCell ref="F42:G42"/>
    <mergeCell ref="F57:G57"/>
    <mergeCell ref="H42:I42"/>
  </mergeCells>
  <dataValidations count="3">
    <dataValidation allowBlank="1" showInputMessage="1" showErrorMessage="1" prompt="Porcentaje de sueldo que le corresponde_x000a_" sqref="C49:C51 WVK983059:WVK983061 WLO983059:WLO983061 WBS983059:WBS983061 VRW983059:VRW983061 VIA983059:VIA983061 UYE983059:UYE983061 UOI983059:UOI983061 UEM983059:UEM983061 TUQ983059:TUQ983061 TKU983059:TKU983061 TAY983059:TAY983061 SRC983059:SRC983061 SHG983059:SHG983061 RXK983059:RXK983061 RNO983059:RNO983061 RDS983059:RDS983061 QTW983059:QTW983061 QKA983059:QKA983061 QAE983059:QAE983061 PQI983059:PQI983061 PGM983059:PGM983061 OWQ983059:OWQ983061 OMU983059:OMU983061 OCY983059:OCY983061 NTC983059:NTC983061 NJG983059:NJG983061 MZK983059:MZK983061 MPO983059:MPO983061 MFS983059:MFS983061 LVW983059:LVW983061 LMA983059:LMA983061 LCE983059:LCE983061 KSI983059:KSI983061 KIM983059:KIM983061 JYQ983059:JYQ983061 JOU983059:JOU983061 JEY983059:JEY983061 IVC983059:IVC983061 ILG983059:ILG983061 IBK983059:IBK983061 HRO983059:HRO983061 HHS983059:HHS983061 GXW983059:GXW983061 GOA983059:GOA983061 GEE983059:GEE983061 FUI983059:FUI983061 FKM983059:FKM983061 FAQ983059:FAQ983061 EQU983059:EQU983061 EGY983059:EGY983061 DXC983059:DXC983061 DNG983059:DNG983061 DDK983059:DDK983061 CTO983059:CTO983061 CJS983059:CJS983061 BZW983059:BZW983061 BQA983059:BQA983061 BGE983059:BGE983061 AWI983059:AWI983061 AMM983059:AMM983061 ACQ983059:ACQ983061 SU983059:SU983061 IY983059:IY983061 C983059:C983061 WVK917523:WVK917525 WLO917523:WLO917525 WBS917523:WBS917525 VRW917523:VRW917525 VIA917523:VIA917525 UYE917523:UYE917525 UOI917523:UOI917525 UEM917523:UEM917525 TUQ917523:TUQ917525 TKU917523:TKU917525 TAY917523:TAY917525 SRC917523:SRC917525 SHG917523:SHG917525 RXK917523:RXK917525 RNO917523:RNO917525 RDS917523:RDS917525 QTW917523:QTW917525 QKA917523:QKA917525 QAE917523:QAE917525 PQI917523:PQI917525 PGM917523:PGM917525 OWQ917523:OWQ917525 OMU917523:OMU917525 OCY917523:OCY917525 NTC917523:NTC917525 NJG917523:NJG917525 MZK917523:MZK917525 MPO917523:MPO917525 MFS917523:MFS917525 LVW917523:LVW917525 LMA917523:LMA917525 LCE917523:LCE917525 KSI917523:KSI917525 KIM917523:KIM917525 JYQ917523:JYQ917525 JOU917523:JOU917525 JEY917523:JEY917525 IVC917523:IVC917525 ILG917523:ILG917525 IBK917523:IBK917525 HRO917523:HRO917525 HHS917523:HHS917525 GXW917523:GXW917525 GOA917523:GOA917525 GEE917523:GEE917525 FUI917523:FUI917525 FKM917523:FKM917525 FAQ917523:FAQ917525 EQU917523:EQU917525 EGY917523:EGY917525 DXC917523:DXC917525 DNG917523:DNG917525 DDK917523:DDK917525 CTO917523:CTO917525 CJS917523:CJS917525 BZW917523:BZW917525 BQA917523:BQA917525 BGE917523:BGE917525 AWI917523:AWI917525 AMM917523:AMM917525 ACQ917523:ACQ917525 SU917523:SU917525 IY917523:IY917525 C917523:C917525 WVK851987:WVK851989 WLO851987:WLO851989 WBS851987:WBS851989 VRW851987:VRW851989 VIA851987:VIA851989 UYE851987:UYE851989 UOI851987:UOI851989 UEM851987:UEM851989 TUQ851987:TUQ851989 TKU851987:TKU851989 TAY851987:TAY851989 SRC851987:SRC851989 SHG851987:SHG851989 RXK851987:RXK851989 RNO851987:RNO851989 RDS851987:RDS851989 QTW851987:QTW851989 QKA851987:QKA851989 QAE851987:QAE851989 PQI851987:PQI851989 PGM851987:PGM851989 OWQ851987:OWQ851989 OMU851987:OMU851989 OCY851987:OCY851989 NTC851987:NTC851989 NJG851987:NJG851989 MZK851987:MZK851989 MPO851987:MPO851989 MFS851987:MFS851989 LVW851987:LVW851989 LMA851987:LMA851989 LCE851987:LCE851989 KSI851987:KSI851989 KIM851987:KIM851989 JYQ851987:JYQ851989 JOU851987:JOU851989 JEY851987:JEY851989 IVC851987:IVC851989 ILG851987:ILG851989 IBK851987:IBK851989 HRO851987:HRO851989 HHS851987:HHS851989 GXW851987:GXW851989 GOA851987:GOA851989 GEE851987:GEE851989 FUI851987:FUI851989 FKM851987:FKM851989 FAQ851987:FAQ851989 EQU851987:EQU851989 EGY851987:EGY851989 DXC851987:DXC851989 DNG851987:DNG851989 DDK851987:DDK851989 CTO851987:CTO851989 CJS851987:CJS851989 BZW851987:BZW851989 BQA851987:BQA851989 BGE851987:BGE851989 AWI851987:AWI851989 AMM851987:AMM851989 ACQ851987:ACQ851989 SU851987:SU851989 IY851987:IY851989 C851987:C851989 WVK786451:WVK786453 WLO786451:WLO786453 WBS786451:WBS786453 VRW786451:VRW786453 VIA786451:VIA786453 UYE786451:UYE786453 UOI786451:UOI786453 UEM786451:UEM786453 TUQ786451:TUQ786453 TKU786451:TKU786453 TAY786451:TAY786453 SRC786451:SRC786453 SHG786451:SHG786453 RXK786451:RXK786453 RNO786451:RNO786453 RDS786451:RDS786453 QTW786451:QTW786453 QKA786451:QKA786453 QAE786451:QAE786453 PQI786451:PQI786453 PGM786451:PGM786453 OWQ786451:OWQ786453 OMU786451:OMU786453 OCY786451:OCY786453 NTC786451:NTC786453 NJG786451:NJG786453 MZK786451:MZK786453 MPO786451:MPO786453 MFS786451:MFS786453 LVW786451:LVW786453 LMA786451:LMA786453 LCE786451:LCE786453 KSI786451:KSI786453 KIM786451:KIM786453 JYQ786451:JYQ786453 JOU786451:JOU786453 JEY786451:JEY786453 IVC786451:IVC786453 ILG786451:ILG786453 IBK786451:IBK786453 HRO786451:HRO786453 HHS786451:HHS786453 GXW786451:GXW786453 GOA786451:GOA786453 GEE786451:GEE786453 FUI786451:FUI786453 FKM786451:FKM786453 FAQ786451:FAQ786453 EQU786451:EQU786453 EGY786451:EGY786453 DXC786451:DXC786453 DNG786451:DNG786453 DDK786451:DDK786453 CTO786451:CTO786453 CJS786451:CJS786453 BZW786451:BZW786453 BQA786451:BQA786453 BGE786451:BGE786453 AWI786451:AWI786453 AMM786451:AMM786453 ACQ786451:ACQ786453 SU786451:SU786453 IY786451:IY786453 C786451:C786453 WVK720915:WVK720917 WLO720915:WLO720917 WBS720915:WBS720917 VRW720915:VRW720917 VIA720915:VIA720917 UYE720915:UYE720917 UOI720915:UOI720917 UEM720915:UEM720917 TUQ720915:TUQ720917 TKU720915:TKU720917 TAY720915:TAY720917 SRC720915:SRC720917 SHG720915:SHG720917 RXK720915:RXK720917 RNO720915:RNO720917 RDS720915:RDS720917 QTW720915:QTW720917 QKA720915:QKA720917 QAE720915:QAE720917 PQI720915:PQI720917 PGM720915:PGM720917 OWQ720915:OWQ720917 OMU720915:OMU720917 OCY720915:OCY720917 NTC720915:NTC720917 NJG720915:NJG720917 MZK720915:MZK720917 MPO720915:MPO720917 MFS720915:MFS720917 LVW720915:LVW720917 LMA720915:LMA720917 LCE720915:LCE720917 KSI720915:KSI720917 KIM720915:KIM720917 JYQ720915:JYQ720917 JOU720915:JOU720917 JEY720915:JEY720917 IVC720915:IVC720917 ILG720915:ILG720917 IBK720915:IBK720917 HRO720915:HRO720917 HHS720915:HHS720917 GXW720915:GXW720917 GOA720915:GOA720917 GEE720915:GEE720917 FUI720915:FUI720917 FKM720915:FKM720917 FAQ720915:FAQ720917 EQU720915:EQU720917 EGY720915:EGY720917 DXC720915:DXC720917 DNG720915:DNG720917 DDK720915:DDK720917 CTO720915:CTO720917 CJS720915:CJS720917 BZW720915:BZW720917 BQA720915:BQA720917 BGE720915:BGE720917 AWI720915:AWI720917 AMM720915:AMM720917 ACQ720915:ACQ720917 SU720915:SU720917 IY720915:IY720917 C720915:C720917 WVK655379:WVK655381 WLO655379:WLO655381 WBS655379:WBS655381 VRW655379:VRW655381 VIA655379:VIA655381 UYE655379:UYE655381 UOI655379:UOI655381 UEM655379:UEM655381 TUQ655379:TUQ655381 TKU655379:TKU655381 TAY655379:TAY655381 SRC655379:SRC655381 SHG655379:SHG655381 RXK655379:RXK655381 RNO655379:RNO655381 RDS655379:RDS655381 QTW655379:QTW655381 QKA655379:QKA655381 QAE655379:QAE655381 PQI655379:PQI655381 PGM655379:PGM655381 OWQ655379:OWQ655381 OMU655379:OMU655381 OCY655379:OCY655381 NTC655379:NTC655381 NJG655379:NJG655381 MZK655379:MZK655381 MPO655379:MPO655381 MFS655379:MFS655381 LVW655379:LVW655381 LMA655379:LMA655381 LCE655379:LCE655381 KSI655379:KSI655381 KIM655379:KIM655381 JYQ655379:JYQ655381 JOU655379:JOU655381 JEY655379:JEY655381 IVC655379:IVC655381 ILG655379:ILG655381 IBK655379:IBK655381 HRO655379:HRO655381 HHS655379:HHS655381 GXW655379:GXW655381 GOA655379:GOA655381 GEE655379:GEE655381 FUI655379:FUI655381 FKM655379:FKM655381 FAQ655379:FAQ655381 EQU655379:EQU655381 EGY655379:EGY655381 DXC655379:DXC655381 DNG655379:DNG655381 DDK655379:DDK655381 CTO655379:CTO655381 CJS655379:CJS655381 BZW655379:BZW655381 BQA655379:BQA655381 BGE655379:BGE655381 AWI655379:AWI655381 AMM655379:AMM655381 ACQ655379:ACQ655381 SU655379:SU655381 IY655379:IY655381 C655379:C655381 WVK589843:WVK589845 WLO589843:WLO589845 WBS589843:WBS589845 VRW589843:VRW589845 VIA589843:VIA589845 UYE589843:UYE589845 UOI589843:UOI589845 UEM589843:UEM589845 TUQ589843:TUQ589845 TKU589843:TKU589845 TAY589843:TAY589845 SRC589843:SRC589845 SHG589843:SHG589845 RXK589843:RXK589845 RNO589843:RNO589845 RDS589843:RDS589845 QTW589843:QTW589845 QKA589843:QKA589845 QAE589843:QAE589845 PQI589843:PQI589845 PGM589843:PGM589845 OWQ589843:OWQ589845 OMU589843:OMU589845 OCY589843:OCY589845 NTC589843:NTC589845 NJG589843:NJG589845 MZK589843:MZK589845 MPO589843:MPO589845 MFS589843:MFS589845 LVW589843:LVW589845 LMA589843:LMA589845 LCE589843:LCE589845 KSI589843:KSI589845 KIM589843:KIM589845 JYQ589843:JYQ589845 JOU589843:JOU589845 JEY589843:JEY589845 IVC589843:IVC589845 ILG589843:ILG589845 IBK589843:IBK589845 HRO589843:HRO589845 HHS589843:HHS589845 GXW589843:GXW589845 GOA589843:GOA589845 GEE589843:GEE589845 FUI589843:FUI589845 FKM589843:FKM589845 FAQ589843:FAQ589845 EQU589843:EQU589845 EGY589843:EGY589845 DXC589843:DXC589845 DNG589843:DNG589845 DDK589843:DDK589845 CTO589843:CTO589845 CJS589843:CJS589845 BZW589843:BZW589845 BQA589843:BQA589845 BGE589843:BGE589845 AWI589843:AWI589845 AMM589843:AMM589845 ACQ589843:ACQ589845 SU589843:SU589845 IY589843:IY589845 C589843:C589845 WVK524307:WVK524309 WLO524307:WLO524309 WBS524307:WBS524309 VRW524307:VRW524309 VIA524307:VIA524309 UYE524307:UYE524309 UOI524307:UOI524309 UEM524307:UEM524309 TUQ524307:TUQ524309 TKU524307:TKU524309 TAY524307:TAY524309 SRC524307:SRC524309 SHG524307:SHG524309 RXK524307:RXK524309 RNO524307:RNO524309 RDS524307:RDS524309 QTW524307:QTW524309 QKA524307:QKA524309 QAE524307:QAE524309 PQI524307:PQI524309 PGM524307:PGM524309 OWQ524307:OWQ524309 OMU524307:OMU524309 OCY524307:OCY524309 NTC524307:NTC524309 NJG524307:NJG524309 MZK524307:MZK524309 MPO524307:MPO524309 MFS524307:MFS524309 LVW524307:LVW524309 LMA524307:LMA524309 LCE524307:LCE524309 KSI524307:KSI524309 KIM524307:KIM524309 JYQ524307:JYQ524309 JOU524307:JOU524309 JEY524307:JEY524309 IVC524307:IVC524309 ILG524307:ILG524309 IBK524307:IBK524309 HRO524307:HRO524309 HHS524307:HHS524309 GXW524307:GXW524309 GOA524307:GOA524309 GEE524307:GEE524309 FUI524307:FUI524309 FKM524307:FKM524309 FAQ524307:FAQ524309 EQU524307:EQU524309 EGY524307:EGY524309 DXC524307:DXC524309 DNG524307:DNG524309 DDK524307:DDK524309 CTO524307:CTO524309 CJS524307:CJS524309 BZW524307:BZW524309 BQA524307:BQA524309 BGE524307:BGE524309 AWI524307:AWI524309 AMM524307:AMM524309 ACQ524307:ACQ524309 SU524307:SU524309 IY524307:IY524309 C524307:C524309 WVK458771:WVK458773 WLO458771:WLO458773 WBS458771:WBS458773 VRW458771:VRW458773 VIA458771:VIA458773 UYE458771:UYE458773 UOI458771:UOI458773 UEM458771:UEM458773 TUQ458771:TUQ458773 TKU458771:TKU458773 TAY458771:TAY458773 SRC458771:SRC458773 SHG458771:SHG458773 RXK458771:RXK458773 RNO458771:RNO458773 RDS458771:RDS458773 QTW458771:QTW458773 QKA458771:QKA458773 QAE458771:QAE458773 PQI458771:PQI458773 PGM458771:PGM458773 OWQ458771:OWQ458773 OMU458771:OMU458773 OCY458771:OCY458773 NTC458771:NTC458773 NJG458771:NJG458773 MZK458771:MZK458773 MPO458771:MPO458773 MFS458771:MFS458773 LVW458771:LVW458773 LMA458771:LMA458773 LCE458771:LCE458773 KSI458771:KSI458773 KIM458771:KIM458773 JYQ458771:JYQ458773 JOU458771:JOU458773 JEY458771:JEY458773 IVC458771:IVC458773 ILG458771:ILG458773 IBK458771:IBK458773 HRO458771:HRO458773 HHS458771:HHS458773 GXW458771:GXW458773 GOA458771:GOA458773 GEE458771:GEE458773 FUI458771:FUI458773 FKM458771:FKM458773 FAQ458771:FAQ458773 EQU458771:EQU458773 EGY458771:EGY458773 DXC458771:DXC458773 DNG458771:DNG458773 DDK458771:DDK458773 CTO458771:CTO458773 CJS458771:CJS458773 BZW458771:BZW458773 BQA458771:BQA458773 BGE458771:BGE458773 AWI458771:AWI458773 AMM458771:AMM458773 ACQ458771:ACQ458773 SU458771:SU458773 IY458771:IY458773 C458771:C458773 WVK393235:WVK393237 WLO393235:WLO393237 WBS393235:WBS393237 VRW393235:VRW393237 VIA393235:VIA393237 UYE393235:UYE393237 UOI393235:UOI393237 UEM393235:UEM393237 TUQ393235:TUQ393237 TKU393235:TKU393237 TAY393235:TAY393237 SRC393235:SRC393237 SHG393235:SHG393237 RXK393235:RXK393237 RNO393235:RNO393237 RDS393235:RDS393237 QTW393235:QTW393237 QKA393235:QKA393237 QAE393235:QAE393237 PQI393235:PQI393237 PGM393235:PGM393237 OWQ393235:OWQ393237 OMU393235:OMU393237 OCY393235:OCY393237 NTC393235:NTC393237 NJG393235:NJG393237 MZK393235:MZK393237 MPO393235:MPO393237 MFS393235:MFS393237 LVW393235:LVW393237 LMA393235:LMA393237 LCE393235:LCE393237 KSI393235:KSI393237 KIM393235:KIM393237 JYQ393235:JYQ393237 JOU393235:JOU393237 JEY393235:JEY393237 IVC393235:IVC393237 ILG393235:ILG393237 IBK393235:IBK393237 HRO393235:HRO393237 HHS393235:HHS393237 GXW393235:GXW393237 GOA393235:GOA393237 GEE393235:GEE393237 FUI393235:FUI393237 FKM393235:FKM393237 FAQ393235:FAQ393237 EQU393235:EQU393237 EGY393235:EGY393237 DXC393235:DXC393237 DNG393235:DNG393237 DDK393235:DDK393237 CTO393235:CTO393237 CJS393235:CJS393237 BZW393235:BZW393237 BQA393235:BQA393237 BGE393235:BGE393237 AWI393235:AWI393237 AMM393235:AMM393237 ACQ393235:ACQ393237 SU393235:SU393237 IY393235:IY393237 C393235:C393237 WVK327699:WVK327701 WLO327699:WLO327701 WBS327699:WBS327701 VRW327699:VRW327701 VIA327699:VIA327701 UYE327699:UYE327701 UOI327699:UOI327701 UEM327699:UEM327701 TUQ327699:TUQ327701 TKU327699:TKU327701 TAY327699:TAY327701 SRC327699:SRC327701 SHG327699:SHG327701 RXK327699:RXK327701 RNO327699:RNO327701 RDS327699:RDS327701 QTW327699:QTW327701 QKA327699:QKA327701 QAE327699:QAE327701 PQI327699:PQI327701 PGM327699:PGM327701 OWQ327699:OWQ327701 OMU327699:OMU327701 OCY327699:OCY327701 NTC327699:NTC327701 NJG327699:NJG327701 MZK327699:MZK327701 MPO327699:MPO327701 MFS327699:MFS327701 LVW327699:LVW327701 LMA327699:LMA327701 LCE327699:LCE327701 KSI327699:KSI327701 KIM327699:KIM327701 JYQ327699:JYQ327701 JOU327699:JOU327701 JEY327699:JEY327701 IVC327699:IVC327701 ILG327699:ILG327701 IBK327699:IBK327701 HRO327699:HRO327701 HHS327699:HHS327701 GXW327699:GXW327701 GOA327699:GOA327701 GEE327699:GEE327701 FUI327699:FUI327701 FKM327699:FKM327701 FAQ327699:FAQ327701 EQU327699:EQU327701 EGY327699:EGY327701 DXC327699:DXC327701 DNG327699:DNG327701 DDK327699:DDK327701 CTO327699:CTO327701 CJS327699:CJS327701 BZW327699:BZW327701 BQA327699:BQA327701 BGE327699:BGE327701 AWI327699:AWI327701 AMM327699:AMM327701 ACQ327699:ACQ327701 SU327699:SU327701 IY327699:IY327701 C327699:C327701 WVK262163:WVK262165 WLO262163:WLO262165 WBS262163:WBS262165 VRW262163:VRW262165 VIA262163:VIA262165 UYE262163:UYE262165 UOI262163:UOI262165 UEM262163:UEM262165 TUQ262163:TUQ262165 TKU262163:TKU262165 TAY262163:TAY262165 SRC262163:SRC262165 SHG262163:SHG262165 RXK262163:RXK262165 RNO262163:RNO262165 RDS262163:RDS262165 QTW262163:QTW262165 QKA262163:QKA262165 QAE262163:QAE262165 PQI262163:PQI262165 PGM262163:PGM262165 OWQ262163:OWQ262165 OMU262163:OMU262165 OCY262163:OCY262165 NTC262163:NTC262165 NJG262163:NJG262165 MZK262163:MZK262165 MPO262163:MPO262165 MFS262163:MFS262165 LVW262163:LVW262165 LMA262163:LMA262165 LCE262163:LCE262165 KSI262163:KSI262165 KIM262163:KIM262165 JYQ262163:JYQ262165 JOU262163:JOU262165 JEY262163:JEY262165 IVC262163:IVC262165 ILG262163:ILG262165 IBK262163:IBK262165 HRO262163:HRO262165 HHS262163:HHS262165 GXW262163:GXW262165 GOA262163:GOA262165 GEE262163:GEE262165 FUI262163:FUI262165 FKM262163:FKM262165 FAQ262163:FAQ262165 EQU262163:EQU262165 EGY262163:EGY262165 DXC262163:DXC262165 DNG262163:DNG262165 DDK262163:DDK262165 CTO262163:CTO262165 CJS262163:CJS262165 BZW262163:BZW262165 BQA262163:BQA262165 BGE262163:BGE262165 AWI262163:AWI262165 AMM262163:AMM262165 ACQ262163:ACQ262165 SU262163:SU262165 IY262163:IY262165 C262163:C262165 WVK196627:WVK196629 WLO196627:WLO196629 WBS196627:WBS196629 VRW196627:VRW196629 VIA196627:VIA196629 UYE196627:UYE196629 UOI196627:UOI196629 UEM196627:UEM196629 TUQ196627:TUQ196629 TKU196627:TKU196629 TAY196627:TAY196629 SRC196627:SRC196629 SHG196627:SHG196629 RXK196627:RXK196629 RNO196627:RNO196629 RDS196627:RDS196629 QTW196627:QTW196629 QKA196627:QKA196629 QAE196627:QAE196629 PQI196627:PQI196629 PGM196627:PGM196629 OWQ196627:OWQ196629 OMU196627:OMU196629 OCY196627:OCY196629 NTC196627:NTC196629 NJG196627:NJG196629 MZK196627:MZK196629 MPO196627:MPO196629 MFS196627:MFS196629 LVW196627:LVW196629 LMA196627:LMA196629 LCE196627:LCE196629 KSI196627:KSI196629 KIM196627:KIM196629 JYQ196627:JYQ196629 JOU196627:JOU196629 JEY196627:JEY196629 IVC196627:IVC196629 ILG196627:ILG196629 IBK196627:IBK196629 HRO196627:HRO196629 HHS196627:HHS196629 GXW196627:GXW196629 GOA196627:GOA196629 GEE196627:GEE196629 FUI196627:FUI196629 FKM196627:FKM196629 FAQ196627:FAQ196629 EQU196627:EQU196629 EGY196627:EGY196629 DXC196627:DXC196629 DNG196627:DNG196629 DDK196627:DDK196629 CTO196627:CTO196629 CJS196627:CJS196629 BZW196627:BZW196629 BQA196627:BQA196629 BGE196627:BGE196629 AWI196627:AWI196629 AMM196627:AMM196629 ACQ196627:ACQ196629 SU196627:SU196629 IY196627:IY196629 C196627:C196629 WVK131091:WVK131093 WLO131091:WLO131093 WBS131091:WBS131093 VRW131091:VRW131093 VIA131091:VIA131093 UYE131091:UYE131093 UOI131091:UOI131093 UEM131091:UEM131093 TUQ131091:TUQ131093 TKU131091:TKU131093 TAY131091:TAY131093 SRC131091:SRC131093 SHG131091:SHG131093 RXK131091:RXK131093 RNO131091:RNO131093 RDS131091:RDS131093 QTW131091:QTW131093 QKA131091:QKA131093 QAE131091:QAE131093 PQI131091:PQI131093 PGM131091:PGM131093 OWQ131091:OWQ131093 OMU131091:OMU131093 OCY131091:OCY131093 NTC131091:NTC131093 NJG131091:NJG131093 MZK131091:MZK131093 MPO131091:MPO131093 MFS131091:MFS131093 LVW131091:LVW131093 LMA131091:LMA131093 LCE131091:LCE131093 KSI131091:KSI131093 KIM131091:KIM131093 JYQ131091:JYQ131093 JOU131091:JOU131093 JEY131091:JEY131093 IVC131091:IVC131093 ILG131091:ILG131093 IBK131091:IBK131093 HRO131091:HRO131093 HHS131091:HHS131093 GXW131091:GXW131093 GOA131091:GOA131093 GEE131091:GEE131093 FUI131091:FUI131093 FKM131091:FKM131093 FAQ131091:FAQ131093 EQU131091:EQU131093 EGY131091:EGY131093 DXC131091:DXC131093 DNG131091:DNG131093 DDK131091:DDK131093 CTO131091:CTO131093 CJS131091:CJS131093 BZW131091:BZW131093 BQA131091:BQA131093 BGE131091:BGE131093 AWI131091:AWI131093 AMM131091:AMM131093 ACQ131091:ACQ131093 SU131091:SU131093 IY131091:IY131093 C131091:C131093 WVK65555:WVK65557 WLO65555:WLO65557 WBS65555:WBS65557 VRW65555:VRW65557 VIA65555:VIA65557 UYE65555:UYE65557 UOI65555:UOI65557 UEM65555:UEM65557 TUQ65555:TUQ65557 TKU65555:TKU65557 TAY65555:TAY65557 SRC65555:SRC65557 SHG65555:SHG65557 RXK65555:RXK65557 RNO65555:RNO65557 RDS65555:RDS65557 QTW65555:QTW65557 QKA65555:QKA65557 QAE65555:QAE65557 PQI65555:PQI65557 PGM65555:PGM65557 OWQ65555:OWQ65557 OMU65555:OMU65557 OCY65555:OCY65557 NTC65555:NTC65557 NJG65555:NJG65557 MZK65555:MZK65557 MPO65555:MPO65557 MFS65555:MFS65557 LVW65555:LVW65557 LMA65555:LMA65557 LCE65555:LCE65557 KSI65555:KSI65557 KIM65555:KIM65557 JYQ65555:JYQ65557 JOU65555:JOU65557 JEY65555:JEY65557 IVC65555:IVC65557 ILG65555:ILG65557 IBK65555:IBK65557 HRO65555:HRO65557 HHS65555:HHS65557 GXW65555:GXW65557 GOA65555:GOA65557 GEE65555:GEE65557 FUI65555:FUI65557 FKM65555:FKM65557 FAQ65555:FAQ65557 EQU65555:EQU65557 EGY65555:EGY65557 DXC65555:DXC65557 DNG65555:DNG65557 DDK65555:DDK65557 CTO65555:CTO65557 CJS65555:CJS65557 BZW65555:BZW65557 BQA65555:BQA65557 BGE65555:BGE65557 AWI65555:AWI65557 AMM65555:AMM65557 ACQ65555:ACQ65557 SU65555:SU65557 IY65555:IY65557 C65555:C65557 WVK19:WVK21 WLO19:WLO21 WBS19:WBS21 VRW19:VRW21 VIA19:VIA21 UYE19:UYE21 UOI19:UOI21 UEM19:UEM21 TUQ19:TUQ21 TKU19:TKU21 TAY19:TAY21 SRC19:SRC21 SHG19:SHG21 RXK19:RXK21 RNO19:RNO21 RDS19:RDS21 QTW19:QTW21 QKA19:QKA21 QAE19:QAE21 PQI19:PQI21 PGM19:PGM21 OWQ19:OWQ21 OMU19:OMU21 OCY19:OCY21 NTC19:NTC21 NJG19:NJG21 MZK19:MZK21 MPO19:MPO21 MFS19:MFS21 LVW19:LVW21 LMA19:LMA21 LCE19:LCE21 KSI19:KSI21 KIM19:KIM21 JYQ19:JYQ21 JOU19:JOU21 JEY19:JEY21 IVC19:IVC21 ILG19:ILG21 IBK19:IBK21 HRO19:HRO21 HHS19:HHS21 GXW19:GXW21 GOA19:GOA21 GEE19:GEE21 FUI19:FUI21 FKM19:FKM21 FAQ19:FAQ21 EQU19:EQU21 EGY19:EGY21 DXC19:DXC21 DNG19:DNG21 DDK19:DDK21 CTO19:CTO21 CJS19:CJS21 BZW19:BZW21 BQA19:BQA21 BGE19:BGE21 AWI19:AWI21 AMM19:AMM21 ACQ19:ACQ21 SU19:SU21 IY19:IY21 C19:C21 WVK983089:WVK983091 WLO983089:WLO983091 WBS983089:WBS983091 VRW983089:VRW983091 VIA983089:VIA983091 UYE983089:UYE983091 UOI983089:UOI983091 UEM983089:UEM983091 TUQ983089:TUQ983091 TKU983089:TKU983091 TAY983089:TAY983091 SRC983089:SRC983091 SHG983089:SHG983091 RXK983089:RXK983091 RNO983089:RNO983091 RDS983089:RDS983091 QTW983089:QTW983091 QKA983089:QKA983091 QAE983089:QAE983091 PQI983089:PQI983091 PGM983089:PGM983091 OWQ983089:OWQ983091 OMU983089:OMU983091 OCY983089:OCY983091 NTC983089:NTC983091 NJG983089:NJG983091 MZK983089:MZK983091 MPO983089:MPO983091 MFS983089:MFS983091 LVW983089:LVW983091 LMA983089:LMA983091 LCE983089:LCE983091 KSI983089:KSI983091 KIM983089:KIM983091 JYQ983089:JYQ983091 JOU983089:JOU983091 JEY983089:JEY983091 IVC983089:IVC983091 ILG983089:ILG983091 IBK983089:IBK983091 HRO983089:HRO983091 HHS983089:HHS983091 GXW983089:GXW983091 GOA983089:GOA983091 GEE983089:GEE983091 FUI983089:FUI983091 FKM983089:FKM983091 FAQ983089:FAQ983091 EQU983089:EQU983091 EGY983089:EGY983091 DXC983089:DXC983091 DNG983089:DNG983091 DDK983089:DDK983091 CTO983089:CTO983091 CJS983089:CJS983091 BZW983089:BZW983091 BQA983089:BQA983091 BGE983089:BGE983091 AWI983089:AWI983091 AMM983089:AMM983091 ACQ983089:ACQ983091 SU983089:SU983091 IY983089:IY983091 C983089:C983091 WVK917553:WVK917555 WLO917553:WLO917555 WBS917553:WBS917555 VRW917553:VRW917555 VIA917553:VIA917555 UYE917553:UYE917555 UOI917553:UOI917555 UEM917553:UEM917555 TUQ917553:TUQ917555 TKU917553:TKU917555 TAY917553:TAY917555 SRC917553:SRC917555 SHG917553:SHG917555 RXK917553:RXK917555 RNO917553:RNO917555 RDS917553:RDS917555 QTW917553:QTW917555 QKA917553:QKA917555 QAE917553:QAE917555 PQI917553:PQI917555 PGM917553:PGM917555 OWQ917553:OWQ917555 OMU917553:OMU917555 OCY917553:OCY917555 NTC917553:NTC917555 NJG917553:NJG917555 MZK917553:MZK917555 MPO917553:MPO917555 MFS917553:MFS917555 LVW917553:LVW917555 LMA917553:LMA917555 LCE917553:LCE917555 KSI917553:KSI917555 KIM917553:KIM917555 JYQ917553:JYQ917555 JOU917553:JOU917555 JEY917553:JEY917555 IVC917553:IVC917555 ILG917553:ILG917555 IBK917553:IBK917555 HRO917553:HRO917555 HHS917553:HHS917555 GXW917553:GXW917555 GOA917553:GOA917555 GEE917553:GEE917555 FUI917553:FUI917555 FKM917553:FKM917555 FAQ917553:FAQ917555 EQU917553:EQU917555 EGY917553:EGY917555 DXC917553:DXC917555 DNG917553:DNG917555 DDK917553:DDK917555 CTO917553:CTO917555 CJS917553:CJS917555 BZW917553:BZW917555 BQA917553:BQA917555 BGE917553:BGE917555 AWI917553:AWI917555 AMM917553:AMM917555 ACQ917553:ACQ917555 SU917553:SU917555 IY917553:IY917555 C917553:C917555 WVK852017:WVK852019 WLO852017:WLO852019 WBS852017:WBS852019 VRW852017:VRW852019 VIA852017:VIA852019 UYE852017:UYE852019 UOI852017:UOI852019 UEM852017:UEM852019 TUQ852017:TUQ852019 TKU852017:TKU852019 TAY852017:TAY852019 SRC852017:SRC852019 SHG852017:SHG852019 RXK852017:RXK852019 RNO852017:RNO852019 RDS852017:RDS852019 QTW852017:QTW852019 QKA852017:QKA852019 QAE852017:QAE852019 PQI852017:PQI852019 PGM852017:PGM852019 OWQ852017:OWQ852019 OMU852017:OMU852019 OCY852017:OCY852019 NTC852017:NTC852019 NJG852017:NJG852019 MZK852017:MZK852019 MPO852017:MPO852019 MFS852017:MFS852019 LVW852017:LVW852019 LMA852017:LMA852019 LCE852017:LCE852019 KSI852017:KSI852019 KIM852017:KIM852019 JYQ852017:JYQ852019 JOU852017:JOU852019 JEY852017:JEY852019 IVC852017:IVC852019 ILG852017:ILG852019 IBK852017:IBK852019 HRO852017:HRO852019 HHS852017:HHS852019 GXW852017:GXW852019 GOA852017:GOA852019 GEE852017:GEE852019 FUI852017:FUI852019 FKM852017:FKM852019 FAQ852017:FAQ852019 EQU852017:EQU852019 EGY852017:EGY852019 DXC852017:DXC852019 DNG852017:DNG852019 DDK852017:DDK852019 CTO852017:CTO852019 CJS852017:CJS852019 BZW852017:BZW852019 BQA852017:BQA852019 BGE852017:BGE852019 AWI852017:AWI852019 AMM852017:AMM852019 ACQ852017:ACQ852019 SU852017:SU852019 IY852017:IY852019 C852017:C852019 WVK786481:WVK786483 WLO786481:WLO786483 WBS786481:WBS786483 VRW786481:VRW786483 VIA786481:VIA786483 UYE786481:UYE786483 UOI786481:UOI786483 UEM786481:UEM786483 TUQ786481:TUQ786483 TKU786481:TKU786483 TAY786481:TAY786483 SRC786481:SRC786483 SHG786481:SHG786483 RXK786481:RXK786483 RNO786481:RNO786483 RDS786481:RDS786483 QTW786481:QTW786483 QKA786481:QKA786483 QAE786481:QAE786483 PQI786481:PQI786483 PGM786481:PGM786483 OWQ786481:OWQ786483 OMU786481:OMU786483 OCY786481:OCY786483 NTC786481:NTC786483 NJG786481:NJG786483 MZK786481:MZK786483 MPO786481:MPO786483 MFS786481:MFS786483 LVW786481:LVW786483 LMA786481:LMA786483 LCE786481:LCE786483 KSI786481:KSI786483 KIM786481:KIM786483 JYQ786481:JYQ786483 JOU786481:JOU786483 JEY786481:JEY786483 IVC786481:IVC786483 ILG786481:ILG786483 IBK786481:IBK786483 HRO786481:HRO786483 HHS786481:HHS786483 GXW786481:GXW786483 GOA786481:GOA786483 GEE786481:GEE786483 FUI786481:FUI786483 FKM786481:FKM786483 FAQ786481:FAQ786483 EQU786481:EQU786483 EGY786481:EGY786483 DXC786481:DXC786483 DNG786481:DNG786483 DDK786481:DDK786483 CTO786481:CTO786483 CJS786481:CJS786483 BZW786481:BZW786483 BQA786481:BQA786483 BGE786481:BGE786483 AWI786481:AWI786483 AMM786481:AMM786483 ACQ786481:ACQ786483 SU786481:SU786483 IY786481:IY786483 C786481:C786483 WVK720945:WVK720947 WLO720945:WLO720947 WBS720945:WBS720947 VRW720945:VRW720947 VIA720945:VIA720947 UYE720945:UYE720947 UOI720945:UOI720947 UEM720945:UEM720947 TUQ720945:TUQ720947 TKU720945:TKU720947 TAY720945:TAY720947 SRC720945:SRC720947 SHG720945:SHG720947 RXK720945:RXK720947 RNO720945:RNO720947 RDS720945:RDS720947 QTW720945:QTW720947 QKA720945:QKA720947 QAE720945:QAE720947 PQI720945:PQI720947 PGM720945:PGM720947 OWQ720945:OWQ720947 OMU720945:OMU720947 OCY720945:OCY720947 NTC720945:NTC720947 NJG720945:NJG720947 MZK720945:MZK720947 MPO720945:MPO720947 MFS720945:MFS720947 LVW720945:LVW720947 LMA720945:LMA720947 LCE720945:LCE720947 KSI720945:KSI720947 KIM720945:KIM720947 JYQ720945:JYQ720947 JOU720945:JOU720947 JEY720945:JEY720947 IVC720945:IVC720947 ILG720945:ILG720947 IBK720945:IBK720947 HRO720945:HRO720947 HHS720945:HHS720947 GXW720945:GXW720947 GOA720945:GOA720947 GEE720945:GEE720947 FUI720945:FUI720947 FKM720945:FKM720947 FAQ720945:FAQ720947 EQU720945:EQU720947 EGY720945:EGY720947 DXC720945:DXC720947 DNG720945:DNG720947 DDK720945:DDK720947 CTO720945:CTO720947 CJS720945:CJS720947 BZW720945:BZW720947 BQA720945:BQA720947 BGE720945:BGE720947 AWI720945:AWI720947 AMM720945:AMM720947 ACQ720945:ACQ720947 SU720945:SU720947 IY720945:IY720947 C720945:C720947 WVK655409:WVK655411 WLO655409:WLO655411 WBS655409:WBS655411 VRW655409:VRW655411 VIA655409:VIA655411 UYE655409:UYE655411 UOI655409:UOI655411 UEM655409:UEM655411 TUQ655409:TUQ655411 TKU655409:TKU655411 TAY655409:TAY655411 SRC655409:SRC655411 SHG655409:SHG655411 RXK655409:RXK655411 RNO655409:RNO655411 RDS655409:RDS655411 QTW655409:QTW655411 QKA655409:QKA655411 QAE655409:QAE655411 PQI655409:PQI655411 PGM655409:PGM655411 OWQ655409:OWQ655411 OMU655409:OMU655411 OCY655409:OCY655411 NTC655409:NTC655411 NJG655409:NJG655411 MZK655409:MZK655411 MPO655409:MPO655411 MFS655409:MFS655411 LVW655409:LVW655411 LMA655409:LMA655411 LCE655409:LCE655411 KSI655409:KSI655411 KIM655409:KIM655411 JYQ655409:JYQ655411 JOU655409:JOU655411 JEY655409:JEY655411 IVC655409:IVC655411 ILG655409:ILG655411 IBK655409:IBK655411 HRO655409:HRO655411 HHS655409:HHS655411 GXW655409:GXW655411 GOA655409:GOA655411 GEE655409:GEE655411 FUI655409:FUI655411 FKM655409:FKM655411 FAQ655409:FAQ655411 EQU655409:EQU655411 EGY655409:EGY655411 DXC655409:DXC655411 DNG655409:DNG655411 DDK655409:DDK655411 CTO655409:CTO655411 CJS655409:CJS655411 BZW655409:BZW655411 BQA655409:BQA655411 BGE655409:BGE655411 AWI655409:AWI655411 AMM655409:AMM655411 ACQ655409:ACQ655411 SU655409:SU655411 IY655409:IY655411 C655409:C655411 WVK589873:WVK589875 WLO589873:WLO589875 WBS589873:WBS589875 VRW589873:VRW589875 VIA589873:VIA589875 UYE589873:UYE589875 UOI589873:UOI589875 UEM589873:UEM589875 TUQ589873:TUQ589875 TKU589873:TKU589875 TAY589873:TAY589875 SRC589873:SRC589875 SHG589873:SHG589875 RXK589873:RXK589875 RNO589873:RNO589875 RDS589873:RDS589875 QTW589873:QTW589875 QKA589873:QKA589875 QAE589873:QAE589875 PQI589873:PQI589875 PGM589873:PGM589875 OWQ589873:OWQ589875 OMU589873:OMU589875 OCY589873:OCY589875 NTC589873:NTC589875 NJG589873:NJG589875 MZK589873:MZK589875 MPO589873:MPO589875 MFS589873:MFS589875 LVW589873:LVW589875 LMA589873:LMA589875 LCE589873:LCE589875 KSI589873:KSI589875 KIM589873:KIM589875 JYQ589873:JYQ589875 JOU589873:JOU589875 JEY589873:JEY589875 IVC589873:IVC589875 ILG589873:ILG589875 IBK589873:IBK589875 HRO589873:HRO589875 HHS589873:HHS589875 GXW589873:GXW589875 GOA589873:GOA589875 GEE589873:GEE589875 FUI589873:FUI589875 FKM589873:FKM589875 FAQ589873:FAQ589875 EQU589873:EQU589875 EGY589873:EGY589875 DXC589873:DXC589875 DNG589873:DNG589875 DDK589873:DDK589875 CTO589873:CTO589875 CJS589873:CJS589875 BZW589873:BZW589875 BQA589873:BQA589875 BGE589873:BGE589875 AWI589873:AWI589875 AMM589873:AMM589875 ACQ589873:ACQ589875 SU589873:SU589875 IY589873:IY589875 C589873:C589875 WVK524337:WVK524339 WLO524337:WLO524339 WBS524337:WBS524339 VRW524337:VRW524339 VIA524337:VIA524339 UYE524337:UYE524339 UOI524337:UOI524339 UEM524337:UEM524339 TUQ524337:TUQ524339 TKU524337:TKU524339 TAY524337:TAY524339 SRC524337:SRC524339 SHG524337:SHG524339 RXK524337:RXK524339 RNO524337:RNO524339 RDS524337:RDS524339 QTW524337:QTW524339 QKA524337:QKA524339 QAE524337:QAE524339 PQI524337:PQI524339 PGM524337:PGM524339 OWQ524337:OWQ524339 OMU524337:OMU524339 OCY524337:OCY524339 NTC524337:NTC524339 NJG524337:NJG524339 MZK524337:MZK524339 MPO524337:MPO524339 MFS524337:MFS524339 LVW524337:LVW524339 LMA524337:LMA524339 LCE524337:LCE524339 KSI524337:KSI524339 KIM524337:KIM524339 JYQ524337:JYQ524339 JOU524337:JOU524339 JEY524337:JEY524339 IVC524337:IVC524339 ILG524337:ILG524339 IBK524337:IBK524339 HRO524337:HRO524339 HHS524337:HHS524339 GXW524337:GXW524339 GOA524337:GOA524339 GEE524337:GEE524339 FUI524337:FUI524339 FKM524337:FKM524339 FAQ524337:FAQ524339 EQU524337:EQU524339 EGY524337:EGY524339 DXC524337:DXC524339 DNG524337:DNG524339 DDK524337:DDK524339 CTO524337:CTO524339 CJS524337:CJS524339 BZW524337:BZW524339 BQA524337:BQA524339 BGE524337:BGE524339 AWI524337:AWI524339 AMM524337:AMM524339 ACQ524337:ACQ524339 SU524337:SU524339 IY524337:IY524339 C524337:C524339 WVK458801:WVK458803 WLO458801:WLO458803 WBS458801:WBS458803 VRW458801:VRW458803 VIA458801:VIA458803 UYE458801:UYE458803 UOI458801:UOI458803 UEM458801:UEM458803 TUQ458801:TUQ458803 TKU458801:TKU458803 TAY458801:TAY458803 SRC458801:SRC458803 SHG458801:SHG458803 RXK458801:RXK458803 RNO458801:RNO458803 RDS458801:RDS458803 QTW458801:QTW458803 QKA458801:QKA458803 QAE458801:QAE458803 PQI458801:PQI458803 PGM458801:PGM458803 OWQ458801:OWQ458803 OMU458801:OMU458803 OCY458801:OCY458803 NTC458801:NTC458803 NJG458801:NJG458803 MZK458801:MZK458803 MPO458801:MPO458803 MFS458801:MFS458803 LVW458801:LVW458803 LMA458801:LMA458803 LCE458801:LCE458803 KSI458801:KSI458803 KIM458801:KIM458803 JYQ458801:JYQ458803 JOU458801:JOU458803 JEY458801:JEY458803 IVC458801:IVC458803 ILG458801:ILG458803 IBK458801:IBK458803 HRO458801:HRO458803 HHS458801:HHS458803 GXW458801:GXW458803 GOA458801:GOA458803 GEE458801:GEE458803 FUI458801:FUI458803 FKM458801:FKM458803 FAQ458801:FAQ458803 EQU458801:EQU458803 EGY458801:EGY458803 DXC458801:DXC458803 DNG458801:DNG458803 DDK458801:DDK458803 CTO458801:CTO458803 CJS458801:CJS458803 BZW458801:BZW458803 BQA458801:BQA458803 BGE458801:BGE458803 AWI458801:AWI458803 AMM458801:AMM458803 ACQ458801:ACQ458803 SU458801:SU458803 IY458801:IY458803 C458801:C458803 WVK393265:WVK393267 WLO393265:WLO393267 WBS393265:WBS393267 VRW393265:VRW393267 VIA393265:VIA393267 UYE393265:UYE393267 UOI393265:UOI393267 UEM393265:UEM393267 TUQ393265:TUQ393267 TKU393265:TKU393267 TAY393265:TAY393267 SRC393265:SRC393267 SHG393265:SHG393267 RXK393265:RXK393267 RNO393265:RNO393267 RDS393265:RDS393267 QTW393265:QTW393267 QKA393265:QKA393267 QAE393265:QAE393267 PQI393265:PQI393267 PGM393265:PGM393267 OWQ393265:OWQ393267 OMU393265:OMU393267 OCY393265:OCY393267 NTC393265:NTC393267 NJG393265:NJG393267 MZK393265:MZK393267 MPO393265:MPO393267 MFS393265:MFS393267 LVW393265:LVW393267 LMA393265:LMA393267 LCE393265:LCE393267 KSI393265:KSI393267 KIM393265:KIM393267 JYQ393265:JYQ393267 JOU393265:JOU393267 JEY393265:JEY393267 IVC393265:IVC393267 ILG393265:ILG393267 IBK393265:IBK393267 HRO393265:HRO393267 HHS393265:HHS393267 GXW393265:GXW393267 GOA393265:GOA393267 GEE393265:GEE393267 FUI393265:FUI393267 FKM393265:FKM393267 FAQ393265:FAQ393267 EQU393265:EQU393267 EGY393265:EGY393267 DXC393265:DXC393267 DNG393265:DNG393267 DDK393265:DDK393267 CTO393265:CTO393267 CJS393265:CJS393267 BZW393265:BZW393267 BQA393265:BQA393267 BGE393265:BGE393267 AWI393265:AWI393267 AMM393265:AMM393267 ACQ393265:ACQ393267 SU393265:SU393267 IY393265:IY393267 C393265:C393267 WVK327729:WVK327731 WLO327729:WLO327731 WBS327729:WBS327731 VRW327729:VRW327731 VIA327729:VIA327731 UYE327729:UYE327731 UOI327729:UOI327731 UEM327729:UEM327731 TUQ327729:TUQ327731 TKU327729:TKU327731 TAY327729:TAY327731 SRC327729:SRC327731 SHG327729:SHG327731 RXK327729:RXK327731 RNO327729:RNO327731 RDS327729:RDS327731 QTW327729:QTW327731 QKA327729:QKA327731 QAE327729:QAE327731 PQI327729:PQI327731 PGM327729:PGM327731 OWQ327729:OWQ327731 OMU327729:OMU327731 OCY327729:OCY327731 NTC327729:NTC327731 NJG327729:NJG327731 MZK327729:MZK327731 MPO327729:MPO327731 MFS327729:MFS327731 LVW327729:LVW327731 LMA327729:LMA327731 LCE327729:LCE327731 KSI327729:KSI327731 KIM327729:KIM327731 JYQ327729:JYQ327731 JOU327729:JOU327731 JEY327729:JEY327731 IVC327729:IVC327731 ILG327729:ILG327731 IBK327729:IBK327731 HRO327729:HRO327731 HHS327729:HHS327731 GXW327729:GXW327731 GOA327729:GOA327731 GEE327729:GEE327731 FUI327729:FUI327731 FKM327729:FKM327731 FAQ327729:FAQ327731 EQU327729:EQU327731 EGY327729:EGY327731 DXC327729:DXC327731 DNG327729:DNG327731 DDK327729:DDK327731 CTO327729:CTO327731 CJS327729:CJS327731 BZW327729:BZW327731 BQA327729:BQA327731 BGE327729:BGE327731 AWI327729:AWI327731 AMM327729:AMM327731 ACQ327729:ACQ327731 SU327729:SU327731 IY327729:IY327731 C327729:C327731 WVK262193:WVK262195 WLO262193:WLO262195 WBS262193:WBS262195 VRW262193:VRW262195 VIA262193:VIA262195 UYE262193:UYE262195 UOI262193:UOI262195 UEM262193:UEM262195 TUQ262193:TUQ262195 TKU262193:TKU262195 TAY262193:TAY262195 SRC262193:SRC262195 SHG262193:SHG262195 RXK262193:RXK262195 RNO262193:RNO262195 RDS262193:RDS262195 QTW262193:QTW262195 QKA262193:QKA262195 QAE262193:QAE262195 PQI262193:PQI262195 PGM262193:PGM262195 OWQ262193:OWQ262195 OMU262193:OMU262195 OCY262193:OCY262195 NTC262193:NTC262195 NJG262193:NJG262195 MZK262193:MZK262195 MPO262193:MPO262195 MFS262193:MFS262195 LVW262193:LVW262195 LMA262193:LMA262195 LCE262193:LCE262195 KSI262193:KSI262195 KIM262193:KIM262195 JYQ262193:JYQ262195 JOU262193:JOU262195 JEY262193:JEY262195 IVC262193:IVC262195 ILG262193:ILG262195 IBK262193:IBK262195 HRO262193:HRO262195 HHS262193:HHS262195 GXW262193:GXW262195 GOA262193:GOA262195 GEE262193:GEE262195 FUI262193:FUI262195 FKM262193:FKM262195 FAQ262193:FAQ262195 EQU262193:EQU262195 EGY262193:EGY262195 DXC262193:DXC262195 DNG262193:DNG262195 DDK262193:DDK262195 CTO262193:CTO262195 CJS262193:CJS262195 BZW262193:BZW262195 BQA262193:BQA262195 BGE262193:BGE262195 AWI262193:AWI262195 AMM262193:AMM262195 ACQ262193:ACQ262195 SU262193:SU262195 IY262193:IY262195 C262193:C262195 WVK196657:WVK196659 WLO196657:WLO196659 WBS196657:WBS196659 VRW196657:VRW196659 VIA196657:VIA196659 UYE196657:UYE196659 UOI196657:UOI196659 UEM196657:UEM196659 TUQ196657:TUQ196659 TKU196657:TKU196659 TAY196657:TAY196659 SRC196657:SRC196659 SHG196657:SHG196659 RXK196657:RXK196659 RNO196657:RNO196659 RDS196657:RDS196659 QTW196657:QTW196659 QKA196657:QKA196659 QAE196657:QAE196659 PQI196657:PQI196659 PGM196657:PGM196659 OWQ196657:OWQ196659 OMU196657:OMU196659 OCY196657:OCY196659 NTC196657:NTC196659 NJG196657:NJG196659 MZK196657:MZK196659 MPO196657:MPO196659 MFS196657:MFS196659 LVW196657:LVW196659 LMA196657:LMA196659 LCE196657:LCE196659 KSI196657:KSI196659 KIM196657:KIM196659 JYQ196657:JYQ196659 JOU196657:JOU196659 JEY196657:JEY196659 IVC196657:IVC196659 ILG196657:ILG196659 IBK196657:IBK196659 HRO196657:HRO196659 HHS196657:HHS196659 GXW196657:GXW196659 GOA196657:GOA196659 GEE196657:GEE196659 FUI196657:FUI196659 FKM196657:FKM196659 FAQ196657:FAQ196659 EQU196657:EQU196659 EGY196657:EGY196659 DXC196657:DXC196659 DNG196657:DNG196659 DDK196657:DDK196659 CTO196657:CTO196659 CJS196657:CJS196659 BZW196657:BZW196659 BQA196657:BQA196659 BGE196657:BGE196659 AWI196657:AWI196659 AMM196657:AMM196659 ACQ196657:ACQ196659 SU196657:SU196659 IY196657:IY196659 C196657:C196659 WVK131121:WVK131123 WLO131121:WLO131123 WBS131121:WBS131123 VRW131121:VRW131123 VIA131121:VIA131123 UYE131121:UYE131123 UOI131121:UOI131123 UEM131121:UEM131123 TUQ131121:TUQ131123 TKU131121:TKU131123 TAY131121:TAY131123 SRC131121:SRC131123 SHG131121:SHG131123 RXK131121:RXK131123 RNO131121:RNO131123 RDS131121:RDS131123 QTW131121:QTW131123 QKA131121:QKA131123 QAE131121:QAE131123 PQI131121:PQI131123 PGM131121:PGM131123 OWQ131121:OWQ131123 OMU131121:OMU131123 OCY131121:OCY131123 NTC131121:NTC131123 NJG131121:NJG131123 MZK131121:MZK131123 MPO131121:MPO131123 MFS131121:MFS131123 LVW131121:LVW131123 LMA131121:LMA131123 LCE131121:LCE131123 KSI131121:KSI131123 KIM131121:KIM131123 JYQ131121:JYQ131123 JOU131121:JOU131123 JEY131121:JEY131123 IVC131121:IVC131123 ILG131121:ILG131123 IBK131121:IBK131123 HRO131121:HRO131123 HHS131121:HHS131123 GXW131121:GXW131123 GOA131121:GOA131123 GEE131121:GEE131123 FUI131121:FUI131123 FKM131121:FKM131123 FAQ131121:FAQ131123 EQU131121:EQU131123 EGY131121:EGY131123 DXC131121:DXC131123 DNG131121:DNG131123 DDK131121:DDK131123 CTO131121:CTO131123 CJS131121:CJS131123 BZW131121:BZW131123 BQA131121:BQA131123 BGE131121:BGE131123 AWI131121:AWI131123 AMM131121:AMM131123 ACQ131121:ACQ131123 SU131121:SU131123 IY131121:IY131123 C131121:C131123 WVK65585:WVK65587 WLO65585:WLO65587 WBS65585:WBS65587 VRW65585:VRW65587 VIA65585:VIA65587 UYE65585:UYE65587 UOI65585:UOI65587 UEM65585:UEM65587 TUQ65585:TUQ65587 TKU65585:TKU65587 TAY65585:TAY65587 SRC65585:SRC65587 SHG65585:SHG65587 RXK65585:RXK65587 RNO65585:RNO65587 RDS65585:RDS65587 QTW65585:QTW65587 QKA65585:QKA65587 QAE65585:QAE65587 PQI65585:PQI65587 PGM65585:PGM65587 OWQ65585:OWQ65587 OMU65585:OMU65587 OCY65585:OCY65587 NTC65585:NTC65587 NJG65585:NJG65587 MZK65585:MZK65587 MPO65585:MPO65587 MFS65585:MFS65587 LVW65585:LVW65587 LMA65585:LMA65587 LCE65585:LCE65587 KSI65585:KSI65587 KIM65585:KIM65587 JYQ65585:JYQ65587 JOU65585:JOU65587 JEY65585:JEY65587 IVC65585:IVC65587 ILG65585:ILG65587 IBK65585:IBK65587 HRO65585:HRO65587 HHS65585:HHS65587 GXW65585:GXW65587 GOA65585:GOA65587 GEE65585:GEE65587 FUI65585:FUI65587 FKM65585:FKM65587 FAQ65585:FAQ65587 EQU65585:EQU65587 EGY65585:EGY65587 DXC65585:DXC65587 DNG65585:DNG65587 DDK65585:DDK65587 CTO65585:CTO65587 CJS65585:CJS65587 BZW65585:BZW65587 BQA65585:BQA65587 BGE65585:BGE65587 AWI65585:AWI65587 AMM65585:AMM65587 ACQ65585:ACQ65587 SU65585:SU65587 IY65585:IY65587 C65585:C65587 WVK49:WVK51 WLO49:WLO51 WBS49:WBS51 VRW49:VRW51 VIA49:VIA51 UYE49:UYE51 UOI49:UOI51 UEM49:UEM51 TUQ49:TUQ51 TKU49:TKU51 TAY49:TAY51 SRC49:SRC51 SHG49:SHG51 RXK49:RXK51 RNO49:RNO51 RDS49:RDS51 QTW49:QTW51 QKA49:QKA51 QAE49:QAE51 PQI49:PQI51 PGM49:PGM51 OWQ49:OWQ51 OMU49:OMU51 OCY49:OCY51 NTC49:NTC51 NJG49:NJG51 MZK49:MZK51 MPO49:MPO51 MFS49:MFS51 LVW49:LVW51 LMA49:LMA51 LCE49:LCE51 KSI49:KSI51 KIM49:KIM51 JYQ49:JYQ51 JOU49:JOU51 JEY49:JEY51 IVC49:IVC51 ILG49:ILG51 IBK49:IBK51 HRO49:HRO51 HHS49:HHS51 GXW49:GXW51 GOA49:GOA51 GEE49:GEE51 FUI49:FUI51 FKM49:FKM51 FAQ49:FAQ51 EQU49:EQU51 EGY49:EGY51 DXC49:DXC51 DNG49:DNG51 DDK49:DDK51 CTO49:CTO51 CJS49:CJS51 BZW49:BZW51 BQA49:BQA51 BGE49:BGE51 AWI49:AWI51 AMM49:AMM51 ACQ49:ACQ51 SU49:SU51 IY49:IY51"/>
    <dataValidation type="list" allowBlank="1" showInputMessage="1" showErrorMessage="1" sqref="D60:D62 WVL983089:WVL983091 WLP983089:WLP983091 WBT983089:WBT983091 VRX983089:VRX983091 VIB983089:VIB983091 UYF983089:UYF983091 UOJ983089:UOJ983091 UEN983089:UEN983091 TUR983089:TUR983091 TKV983089:TKV983091 TAZ983089:TAZ983091 SRD983089:SRD983091 SHH983089:SHH983091 RXL983089:RXL983091 RNP983089:RNP983091 RDT983089:RDT983091 QTX983089:QTX983091 QKB983089:QKB983091 QAF983089:QAF983091 PQJ983089:PQJ983091 PGN983089:PGN983091 OWR983089:OWR983091 OMV983089:OMV983091 OCZ983089:OCZ983091 NTD983089:NTD983091 NJH983089:NJH983091 MZL983089:MZL983091 MPP983089:MPP983091 MFT983089:MFT983091 LVX983089:LVX983091 LMB983089:LMB983091 LCF983089:LCF983091 KSJ983089:KSJ983091 KIN983089:KIN983091 JYR983089:JYR983091 JOV983089:JOV983091 JEZ983089:JEZ983091 IVD983089:IVD983091 ILH983089:ILH983091 IBL983089:IBL983091 HRP983089:HRP983091 HHT983089:HHT983091 GXX983089:GXX983091 GOB983089:GOB983091 GEF983089:GEF983091 FUJ983089:FUJ983091 FKN983089:FKN983091 FAR983089:FAR983091 EQV983089:EQV983091 EGZ983089:EGZ983091 DXD983089:DXD983091 DNH983089:DNH983091 DDL983089:DDL983091 CTP983089:CTP983091 CJT983089:CJT983091 BZX983089:BZX983091 BQB983089:BQB983091 BGF983089:BGF983091 AWJ983089:AWJ983091 AMN983089:AMN983091 ACR983089:ACR983091 SV983089:SV983091 IZ983089:IZ983091 D983089:D983091 WVL917553:WVL917555 WLP917553:WLP917555 WBT917553:WBT917555 VRX917553:VRX917555 VIB917553:VIB917555 UYF917553:UYF917555 UOJ917553:UOJ917555 UEN917553:UEN917555 TUR917553:TUR917555 TKV917553:TKV917555 TAZ917553:TAZ917555 SRD917553:SRD917555 SHH917553:SHH917555 RXL917553:RXL917555 RNP917553:RNP917555 RDT917553:RDT917555 QTX917553:QTX917555 QKB917553:QKB917555 QAF917553:QAF917555 PQJ917553:PQJ917555 PGN917553:PGN917555 OWR917553:OWR917555 OMV917553:OMV917555 OCZ917553:OCZ917555 NTD917553:NTD917555 NJH917553:NJH917555 MZL917553:MZL917555 MPP917553:MPP917555 MFT917553:MFT917555 LVX917553:LVX917555 LMB917553:LMB917555 LCF917553:LCF917555 KSJ917553:KSJ917555 KIN917553:KIN917555 JYR917553:JYR917555 JOV917553:JOV917555 JEZ917553:JEZ917555 IVD917553:IVD917555 ILH917553:ILH917555 IBL917553:IBL917555 HRP917553:HRP917555 HHT917553:HHT917555 GXX917553:GXX917555 GOB917553:GOB917555 GEF917553:GEF917555 FUJ917553:FUJ917555 FKN917553:FKN917555 FAR917553:FAR917555 EQV917553:EQV917555 EGZ917553:EGZ917555 DXD917553:DXD917555 DNH917553:DNH917555 DDL917553:DDL917555 CTP917553:CTP917555 CJT917553:CJT917555 BZX917553:BZX917555 BQB917553:BQB917555 BGF917553:BGF917555 AWJ917553:AWJ917555 AMN917553:AMN917555 ACR917553:ACR917555 SV917553:SV917555 IZ917553:IZ917555 D917553:D917555 WVL852017:WVL852019 WLP852017:WLP852019 WBT852017:WBT852019 VRX852017:VRX852019 VIB852017:VIB852019 UYF852017:UYF852019 UOJ852017:UOJ852019 UEN852017:UEN852019 TUR852017:TUR852019 TKV852017:TKV852019 TAZ852017:TAZ852019 SRD852017:SRD852019 SHH852017:SHH852019 RXL852017:RXL852019 RNP852017:RNP852019 RDT852017:RDT852019 QTX852017:QTX852019 QKB852017:QKB852019 QAF852017:QAF852019 PQJ852017:PQJ852019 PGN852017:PGN852019 OWR852017:OWR852019 OMV852017:OMV852019 OCZ852017:OCZ852019 NTD852017:NTD852019 NJH852017:NJH852019 MZL852017:MZL852019 MPP852017:MPP852019 MFT852017:MFT852019 LVX852017:LVX852019 LMB852017:LMB852019 LCF852017:LCF852019 KSJ852017:KSJ852019 KIN852017:KIN852019 JYR852017:JYR852019 JOV852017:JOV852019 JEZ852017:JEZ852019 IVD852017:IVD852019 ILH852017:ILH852019 IBL852017:IBL852019 HRP852017:HRP852019 HHT852017:HHT852019 GXX852017:GXX852019 GOB852017:GOB852019 GEF852017:GEF852019 FUJ852017:FUJ852019 FKN852017:FKN852019 FAR852017:FAR852019 EQV852017:EQV852019 EGZ852017:EGZ852019 DXD852017:DXD852019 DNH852017:DNH852019 DDL852017:DDL852019 CTP852017:CTP852019 CJT852017:CJT852019 BZX852017:BZX852019 BQB852017:BQB852019 BGF852017:BGF852019 AWJ852017:AWJ852019 AMN852017:AMN852019 ACR852017:ACR852019 SV852017:SV852019 IZ852017:IZ852019 D852017:D852019 WVL786481:WVL786483 WLP786481:WLP786483 WBT786481:WBT786483 VRX786481:VRX786483 VIB786481:VIB786483 UYF786481:UYF786483 UOJ786481:UOJ786483 UEN786481:UEN786483 TUR786481:TUR786483 TKV786481:TKV786483 TAZ786481:TAZ786483 SRD786481:SRD786483 SHH786481:SHH786483 RXL786481:RXL786483 RNP786481:RNP786483 RDT786481:RDT786483 QTX786481:QTX786483 QKB786481:QKB786483 QAF786481:QAF786483 PQJ786481:PQJ786483 PGN786481:PGN786483 OWR786481:OWR786483 OMV786481:OMV786483 OCZ786481:OCZ786483 NTD786481:NTD786483 NJH786481:NJH786483 MZL786481:MZL786483 MPP786481:MPP786483 MFT786481:MFT786483 LVX786481:LVX786483 LMB786481:LMB786483 LCF786481:LCF786483 KSJ786481:KSJ786483 KIN786481:KIN786483 JYR786481:JYR786483 JOV786481:JOV786483 JEZ786481:JEZ786483 IVD786481:IVD786483 ILH786481:ILH786483 IBL786481:IBL786483 HRP786481:HRP786483 HHT786481:HHT786483 GXX786481:GXX786483 GOB786481:GOB786483 GEF786481:GEF786483 FUJ786481:FUJ786483 FKN786481:FKN786483 FAR786481:FAR786483 EQV786481:EQV786483 EGZ786481:EGZ786483 DXD786481:DXD786483 DNH786481:DNH786483 DDL786481:DDL786483 CTP786481:CTP786483 CJT786481:CJT786483 BZX786481:BZX786483 BQB786481:BQB786483 BGF786481:BGF786483 AWJ786481:AWJ786483 AMN786481:AMN786483 ACR786481:ACR786483 SV786481:SV786483 IZ786481:IZ786483 D786481:D786483 WVL720945:WVL720947 WLP720945:WLP720947 WBT720945:WBT720947 VRX720945:VRX720947 VIB720945:VIB720947 UYF720945:UYF720947 UOJ720945:UOJ720947 UEN720945:UEN720947 TUR720945:TUR720947 TKV720945:TKV720947 TAZ720945:TAZ720947 SRD720945:SRD720947 SHH720945:SHH720947 RXL720945:RXL720947 RNP720945:RNP720947 RDT720945:RDT720947 QTX720945:QTX720947 QKB720945:QKB720947 QAF720945:QAF720947 PQJ720945:PQJ720947 PGN720945:PGN720947 OWR720945:OWR720947 OMV720945:OMV720947 OCZ720945:OCZ720947 NTD720945:NTD720947 NJH720945:NJH720947 MZL720945:MZL720947 MPP720945:MPP720947 MFT720945:MFT720947 LVX720945:LVX720947 LMB720945:LMB720947 LCF720945:LCF720947 KSJ720945:KSJ720947 KIN720945:KIN720947 JYR720945:JYR720947 JOV720945:JOV720947 JEZ720945:JEZ720947 IVD720945:IVD720947 ILH720945:ILH720947 IBL720945:IBL720947 HRP720945:HRP720947 HHT720945:HHT720947 GXX720945:GXX720947 GOB720945:GOB720947 GEF720945:GEF720947 FUJ720945:FUJ720947 FKN720945:FKN720947 FAR720945:FAR720947 EQV720945:EQV720947 EGZ720945:EGZ720947 DXD720945:DXD720947 DNH720945:DNH720947 DDL720945:DDL720947 CTP720945:CTP720947 CJT720945:CJT720947 BZX720945:BZX720947 BQB720945:BQB720947 BGF720945:BGF720947 AWJ720945:AWJ720947 AMN720945:AMN720947 ACR720945:ACR720947 SV720945:SV720947 IZ720945:IZ720947 D720945:D720947 WVL655409:WVL655411 WLP655409:WLP655411 WBT655409:WBT655411 VRX655409:VRX655411 VIB655409:VIB655411 UYF655409:UYF655411 UOJ655409:UOJ655411 UEN655409:UEN655411 TUR655409:TUR655411 TKV655409:TKV655411 TAZ655409:TAZ655411 SRD655409:SRD655411 SHH655409:SHH655411 RXL655409:RXL655411 RNP655409:RNP655411 RDT655409:RDT655411 QTX655409:QTX655411 QKB655409:QKB655411 QAF655409:QAF655411 PQJ655409:PQJ655411 PGN655409:PGN655411 OWR655409:OWR655411 OMV655409:OMV655411 OCZ655409:OCZ655411 NTD655409:NTD655411 NJH655409:NJH655411 MZL655409:MZL655411 MPP655409:MPP655411 MFT655409:MFT655411 LVX655409:LVX655411 LMB655409:LMB655411 LCF655409:LCF655411 KSJ655409:KSJ655411 KIN655409:KIN655411 JYR655409:JYR655411 JOV655409:JOV655411 JEZ655409:JEZ655411 IVD655409:IVD655411 ILH655409:ILH655411 IBL655409:IBL655411 HRP655409:HRP655411 HHT655409:HHT655411 GXX655409:GXX655411 GOB655409:GOB655411 GEF655409:GEF655411 FUJ655409:FUJ655411 FKN655409:FKN655411 FAR655409:FAR655411 EQV655409:EQV655411 EGZ655409:EGZ655411 DXD655409:DXD655411 DNH655409:DNH655411 DDL655409:DDL655411 CTP655409:CTP655411 CJT655409:CJT655411 BZX655409:BZX655411 BQB655409:BQB655411 BGF655409:BGF655411 AWJ655409:AWJ655411 AMN655409:AMN655411 ACR655409:ACR655411 SV655409:SV655411 IZ655409:IZ655411 D655409:D655411 WVL589873:WVL589875 WLP589873:WLP589875 WBT589873:WBT589875 VRX589873:VRX589875 VIB589873:VIB589875 UYF589873:UYF589875 UOJ589873:UOJ589875 UEN589873:UEN589875 TUR589873:TUR589875 TKV589873:TKV589875 TAZ589873:TAZ589875 SRD589873:SRD589875 SHH589873:SHH589875 RXL589873:RXL589875 RNP589873:RNP589875 RDT589873:RDT589875 QTX589873:QTX589875 QKB589873:QKB589875 QAF589873:QAF589875 PQJ589873:PQJ589875 PGN589873:PGN589875 OWR589873:OWR589875 OMV589873:OMV589875 OCZ589873:OCZ589875 NTD589873:NTD589875 NJH589873:NJH589875 MZL589873:MZL589875 MPP589873:MPP589875 MFT589873:MFT589875 LVX589873:LVX589875 LMB589873:LMB589875 LCF589873:LCF589875 KSJ589873:KSJ589875 KIN589873:KIN589875 JYR589873:JYR589875 JOV589873:JOV589875 JEZ589873:JEZ589875 IVD589873:IVD589875 ILH589873:ILH589875 IBL589873:IBL589875 HRP589873:HRP589875 HHT589873:HHT589875 GXX589873:GXX589875 GOB589873:GOB589875 GEF589873:GEF589875 FUJ589873:FUJ589875 FKN589873:FKN589875 FAR589873:FAR589875 EQV589873:EQV589875 EGZ589873:EGZ589875 DXD589873:DXD589875 DNH589873:DNH589875 DDL589873:DDL589875 CTP589873:CTP589875 CJT589873:CJT589875 BZX589873:BZX589875 BQB589873:BQB589875 BGF589873:BGF589875 AWJ589873:AWJ589875 AMN589873:AMN589875 ACR589873:ACR589875 SV589873:SV589875 IZ589873:IZ589875 D589873:D589875 WVL524337:WVL524339 WLP524337:WLP524339 WBT524337:WBT524339 VRX524337:VRX524339 VIB524337:VIB524339 UYF524337:UYF524339 UOJ524337:UOJ524339 UEN524337:UEN524339 TUR524337:TUR524339 TKV524337:TKV524339 TAZ524337:TAZ524339 SRD524337:SRD524339 SHH524337:SHH524339 RXL524337:RXL524339 RNP524337:RNP524339 RDT524337:RDT524339 QTX524337:QTX524339 QKB524337:QKB524339 QAF524337:QAF524339 PQJ524337:PQJ524339 PGN524337:PGN524339 OWR524337:OWR524339 OMV524337:OMV524339 OCZ524337:OCZ524339 NTD524337:NTD524339 NJH524337:NJH524339 MZL524337:MZL524339 MPP524337:MPP524339 MFT524337:MFT524339 LVX524337:LVX524339 LMB524337:LMB524339 LCF524337:LCF524339 KSJ524337:KSJ524339 KIN524337:KIN524339 JYR524337:JYR524339 JOV524337:JOV524339 JEZ524337:JEZ524339 IVD524337:IVD524339 ILH524337:ILH524339 IBL524337:IBL524339 HRP524337:HRP524339 HHT524337:HHT524339 GXX524337:GXX524339 GOB524337:GOB524339 GEF524337:GEF524339 FUJ524337:FUJ524339 FKN524337:FKN524339 FAR524337:FAR524339 EQV524337:EQV524339 EGZ524337:EGZ524339 DXD524337:DXD524339 DNH524337:DNH524339 DDL524337:DDL524339 CTP524337:CTP524339 CJT524337:CJT524339 BZX524337:BZX524339 BQB524337:BQB524339 BGF524337:BGF524339 AWJ524337:AWJ524339 AMN524337:AMN524339 ACR524337:ACR524339 SV524337:SV524339 IZ524337:IZ524339 D524337:D524339 WVL458801:WVL458803 WLP458801:WLP458803 WBT458801:WBT458803 VRX458801:VRX458803 VIB458801:VIB458803 UYF458801:UYF458803 UOJ458801:UOJ458803 UEN458801:UEN458803 TUR458801:TUR458803 TKV458801:TKV458803 TAZ458801:TAZ458803 SRD458801:SRD458803 SHH458801:SHH458803 RXL458801:RXL458803 RNP458801:RNP458803 RDT458801:RDT458803 QTX458801:QTX458803 QKB458801:QKB458803 QAF458801:QAF458803 PQJ458801:PQJ458803 PGN458801:PGN458803 OWR458801:OWR458803 OMV458801:OMV458803 OCZ458801:OCZ458803 NTD458801:NTD458803 NJH458801:NJH458803 MZL458801:MZL458803 MPP458801:MPP458803 MFT458801:MFT458803 LVX458801:LVX458803 LMB458801:LMB458803 LCF458801:LCF458803 KSJ458801:KSJ458803 KIN458801:KIN458803 JYR458801:JYR458803 JOV458801:JOV458803 JEZ458801:JEZ458803 IVD458801:IVD458803 ILH458801:ILH458803 IBL458801:IBL458803 HRP458801:HRP458803 HHT458801:HHT458803 GXX458801:GXX458803 GOB458801:GOB458803 GEF458801:GEF458803 FUJ458801:FUJ458803 FKN458801:FKN458803 FAR458801:FAR458803 EQV458801:EQV458803 EGZ458801:EGZ458803 DXD458801:DXD458803 DNH458801:DNH458803 DDL458801:DDL458803 CTP458801:CTP458803 CJT458801:CJT458803 BZX458801:BZX458803 BQB458801:BQB458803 BGF458801:BGF458803 AWJ458801:AWJ458803 AMN458801:AMN458803 ACR458801:ACR458803 SV458801:SV458803 IZ458801:IZ458803 D458801:D458803 WVL393265:WVL393267 WLP393265:WLP393267 WBT393265:WBT393267 VRX393265:VRX393267 VIB393265:VIB393267 UYF393265:UYF393267 UOJ393265:UOJ393267 UEN393265:UEN393267 TUR393265:TUR393267 TKV393265:TKV393267 TAZ393265:TAZ393267 SRD393265:SRD393267 SHH393265:SHH393267 RXL393265:RXL393267 RNP393265:RNP393267 RDT393265:RDT393267 QTX393265:QTX393267 QKB393265:QKB393267 QAF393265:QAF393267 PQJ393265:PQJ393267 PGN393265:PGN393267 OWR393265:OWR393267 OMV393265:OMV393267 OCZ393265:OCZ393267 NTD393265:NTD393267 NJH393265:NJH393267 MZL393265:MZL393267 MPP393265:MPP393267 MFT393265:MFT393267 LVX393265:LVX393267 LMB393265:LMB393267 LCF393265:LCF393267 KSJ393265:KSJ393267 KIN393265:KIN393267 JYR393265:JYR393267 JOV393265:JOV393267 JEZ393265:JEZ393267 IVD393265:IVD393267 ILH393265:ILH393267 IBL393265:IBL393267 HRP393265:HRP393267 HHT393265:HHT393267 GXX393265:GXX393267 GOB393265:GOB393267 GEF393265:GEF393267 FUJ393265:FUJ393267 FKN393265:FKN393267 FAR393265:FAR393267 EQV393265:EQV393267 EGZ393265:EGZ393267 DXD393265:DXD393267 DNH393265:DNH393267 DDL393265:DDL393267 CTP393265:CTP393267 CJT393265:CJT393267 BZX393265:BZX393267 BQB393265:BQB393267 BGF393265:BGF393267 AWJ393265:AWJ393267 AMN393265:AMN393267 ACR393265:ACR393267 SV393265:SV393267 IZ393265:IZ393267 D393265:D393267 WVL327729:WVL327731 WLP327729:WLP327731 WBT327729:WBT327731 VRX327729:VRX327731 VIB327729:VIB327731 UYF327729:UYF327731 UOJ327729:UOJ327731 UEN327729:UEN327731 TUR327729:TUR327731 TKV327729:TKV327731 TAZ327729:TAZ327731 SRD327729:SRD327731 SHH327729:SHH327731 RXL327729:RXL327731 RNP327729:RNP327731 RDT327729:RDT327731 QTX327729:QTX327731 QKB327729:QKB327731 QAF327729:QAF327731 PQJ327729:PQJ327731 PGN327729:PGN327731 OWR327729:OWR327731 OMV327729:OMV327731 OCZ327729:OCZ327731 NTD327729:NTD327731 NJH327729:NJH327731 MZL327729:MZL327731 MPP327729:MPP327731 MFT327729:MFT327731 LVX327729:LVX327731 LMB327729:LMB327731 LCF327729:LCF327731 KSJ327729:KSJ327731 KIN327729:KIN327731 JYR327729:JYR327731 JOV327729:JOV327731 JEZ327729:JEZ327731 IVD327729:IVD327731 ILH327729:ILH327731 IBL327729:IBL327731 HRP327729:HRP327731 HHT327729:HHT327731 GXX327729:GXX327731 GOB327729:GOB327731 GEF327729:GEF327731 FUJ327729:FUJ327731 FKN327729:FKN327731 FAR327729:FAR327731 EQV327729:EQV327731 EGZ327729:EGZ327731 DXD327729:DXD327731 DNH327729:DNH327731 DDL327729:DDL327731 CTP327729:CTP327731 CJT327729:CJT327731 BZX327729:BZX327731 BQB327729:BQB327731 BGF327729:BGF327731 AWJ327729:AWJ327731 AMN327729:AMN327731 ACR327729:ACR327731 SV327729:SV327731 IZ327729:IZ327731 D327729:D327731 WVL262193:WVL262195 WLP262193:WLP262195 WBT262193:WBT262195 VRX262193:VRX262195 VIB262193:VIB262195 UYF262193:UYF262195 UOJ262193:UOJ262195 UEN262193:UEN262195 TUR262193:TUR262195 TKV262193:TKV262195 TAZ262193:TAZ262195 SRD262193:SRD262195 SHH262193:SHH262195 RXL262193:RXL262195 RNP262193:RNP262195 RDT262193:RDT262195 QTX262193:QTX262195 QKB262193:QKB262195 QAF262193:QAF262195 PQJ262193:PQJ262195 PGN262193:PGN262195 OWR262193:OWR262195 OMV262193:OMV262195 OCZ262193:OCZ262195 NTD262193:NTD262195 NJH262193:NJH262195 MZL262193:MZL262195 MPP262193:MPP262195 MFT262193:MFT262195 LVX262193:LVX262195 LMB262193:LMB262195 LCF262193:LCF262195 KSJ262193:KSJ262195 KIN262193:KIN262195 JYR262193:JYR262195 JOV262193:JOV262195 JEZ262193:JEZ262195 IVD262193:IVD262195 ILH262193:ILH262195 IBL262193:IBL262195 HRP262193:HRP262195 HHT262193:HHT262195 GXX262193:GXX262195 GOB262193:GOB262195 GEF262193:GEF262195 FUJ262193:FUJ262195 FKN262193:FKN262195 FAR262193:FAR262195 EQV262193:EQV262195 EGZ262193:EGZ262195 DXD262193:DXD262195 DNH262193:DNH262195 DDL262193:DDL262195 CTP262193:CTP262195 CJT262193:CJT262195 BZX262193:BZX262195 BQB262193:BQB262195 BGF262193:BGF262195 AWJ262193:AWJ262195 AMN262193:AMN262195 ACR262193:ACR262195 SV262193:SV262195 IZ262193:IZ262195 D262193:D262195 WVL196657:WVL196659 WLP196657:WLP196659 WBT196657:WBT196659 VRX196657:VRX196659 VIB196657:VIB196659 UYF196657:UYF196659 UOJ196657:UOJ196659 UEN196657:UEN196659 TUR196657:TUR196659 TKV196657:TKV196659 TAZ196657:TAZ196659 SRD196657:SRD196659 SHH196657:SHH196659 RXL196657:RXL196659 RNP196657:RNP196659 RDT196657:RDT196659 QTX196657:QTX196659 QKB196657:QKB196659 QAF196657:QAF196659 PQJ196657:PQJ196659 PGN196657:PGN196659 OWR196657:OWR196659 OMV196657:OMV196659 OCZ196657:OCZ196659 NTD196657:NTD196659 NJH196657:NJH196659 MZL196657:MZL196659 MPP196657:MPP196659 MFT196657:MFT196659 LVX196657:LVX196659 LMB196657:LMB196659 LCF196657:LCF196659 KSJ196657:KSJ196659 KIN196657:KIN196659 JYR196657:JYR196659 JOV196657:JOV196659 JEZ196657:JEZ196659 IVD196657:IVD196659 ILH196657:ILH196659 IBL196657:IBL196659 HRP196657:HRP196659 HHT196657:HHT196659 GXX196657:GXX196659 GOB196657:GOB196659 GEF196657:GEF196659 FUJ196657:FUJ196659 FKN196657:FKN196659 FAR196657:FAR196659 EQV196657:EQV196659 EGZ196657:EGZ196659 DXD196657:DXD196659 DNH196657:DNH196659 DDL196657:DDL196659 CTP196657:CTP196659 CJT196657:CJT196659 BZX196657:BZX196659 BQB196657:BQB196659 BGF196657:BGF196659 AWJ196657:AWJ196659 AMN196657:AMN196659 ACR196657:ACR196659 SV196657:SV196659 IZ196657:IZ196659 D196657:D196659 WVL131121:WVL131123 WLP131121:WLP131123 WBT131121:WBT131123 VRX131121:VRX131123 VIB131121:VIB131123 UYF131121:UYF131123 UOJ131121:UOJ131123 UEN131121:UEN131123 TUR131121:TUR131123 TKV131121:TKV131123 TAZ131121:TAZ131123 SRD131121:SRD131123 SHH131121:SHH131123 RXL131121:RXL131123 RNP131121:RNP131123 RDT131121:RDT131123 QTX131121:QTX131123 QKB131121:QKB131123 QAF131121:QAF131123 PQJ131121:PQJ131123 PGN131121:PGN131123 OWR131121:OWR131123 OMV131121:OMV131123 OCZ131121:OCZ131123 NTD131121:NTD131123 NJH131121:NJH131123 MZL131121:MZL131123 MPP131121:MPP131123 MFT131121:MFT131123 LVX131121:LVX131123 LMB131121:LMB131123 LCF131121:LCF131123 KSJ131121:KSJ131123 KIN131121:KIN131123 JYR131121:JYR131123 JOV131121:JOV131123 JEZ131121:JEZ131123 IVD131121:IVD131123 ILH131121:ILH131123 IBL131121:IBL131123 HRP131121:HRP131123 HHT131121:HHT131123 GXX131121:GXX131123 GOB131121:GOB131123 GEF131121:GEF131123 FUJ131121:FUJ131123 FKN131121:FKN131123 FAR131121:FAR131123 EQV131121:EQV131123 EGZ131121:EGZ131123 DXD131121:DXD131123 DNH131121:DNH131123 DDL131121:DDL131123 CTP131121:CTP131123 CJT131121:CJT131123 BZX131121:BZX131123 BQB131121:BQB131123 BGF131121:BGF131123 AWJ131121:AWJ131123 AMN131121:AMN131123 ACR131121:ACR131123 SV131121:SV131123 IZ131121:IZ131123 D131121:D131123 WVL65585:WVL65587 WLP65585:WLP65587 WBT65585:WBT65587 VRX65585:VRX65587 VIB65585:VIB65587 UYF65585:UYF65587 UOJ65585:UOJ65587 UEN65585:UEN65587 TUR65585:TUR65587 TKV65585:TKV65587 TAZ65585:TAZ65587 SRD65585:SRD65587 SHH65585:SHH65587 RXL65585:RXL65587 RNP65585:RNP65587 RDT65585:RDT65587 QTX65585:QTX65587 QKB65585:QKB65587 QAF65585:QAF65587 PQJ65585:PQJ65587 PGN65585:PGN65587 OWR65585:OWR65587 OMV65585:OMV65587 OCZ65585:OCZ65587 NTD65585:NTD65587 NJH65585:NJH65587 MZL65585:MZL65587 MPP65585:MPP65587 MFT65585:MFT65587 LVX65585:LVX65587 LMB65585:LMB65587 LCF65585:LCF65587 KSJ65585:KSJ65587 KIN65585:KIN65587 JYR65585:JYR65587 JOV65585:JOV65587 JEZ65585:JEZ65587 IVD65585:IVD65587 ILH65585:ILH65587 IBL65585:IBL65587 HRP65585:HRP65587 HHT65585:HHT65587 GXX65585:GXX65587 GOB65585:GOB65587 GEF65585:GEF65587 FUJ65585:FUJ65587 FKN65585:FKN65587 FAR65585:FAR65587 EQV65585:EQV65587 EGZ65585:EGZ65587 DXD65585:DXD65587 DNH65585:DNH65587 DDL65585:DDL65587 CTP65585:CTP65587 CJT65585:CJT65587 BZX65585:BZX65587 BQB65585:BQB65587 BGF65585:BGF65587 AWJ65585:AWJ65587 AMN65585:AMN65587 ACR65585:ACR65587 SV65585:SV65587 IZ65585:IZ65587 D65585:D65587 WVL49:WVL51 WLP49:WLP51 WBT49:WBT51 VRX49:VRX51 VIB49:VIB51 UYF49:UYF51 UOJ49:UOJ51 UEN49:UEN51 TUR49:TUR51 TKV49:TKV51 TAZ49:TAZ51 SRD49:SRD51 SHH49:SHH51 RXL49:RXL51 RNP49:RNP51 RDT49:RDT51 QTX49:QTX51 QKB49:QKB51 QAF49:QAF51 PQJ49:PQJ51 PGN49:PGN51 OWR49:OWR51 OMV49:OMV51 OCZ49:OCZ51 NTD49:NTD51 NJH49:NJH51 MZL49:MZL51 MPP49:MPP51 MFT49:MFT51 LVX49:LVX51 LMB49:LMB51 LCF49:LCF51 KSJ49:KSJ51 KIN49:KIN51 JYR49:JYR51 JOV49:JOV51 JEZ49:JEZ51 IVD49:IVD51 ILH49:ILH51 IBL49:IBL51 HRP49:HRP51 HHT49:HHT51 GXX49:GXX51 GOB49:GOB51 GEF49:GEF51 FUJ49:FUJ51 FKN49:FKN51 FAR49:FAR51 EQV49:EQV51 EGZ49:EGZ51 DXD49:DXD51 DNH49:DNH51 DDL49:DDL51 CTP49:CTP51 CJT49:CJT51 BZX49:BZX51 BQB49:BQB51 BGF49:BGF51 AWJ49:AWJ51 AMN49:AMN51 ACR49:ACR51 SV49:SV51 IZ49:IZ51 D49:D51 WVL983059:WVL983061 WLP983059:WLP983061 WBT983059:WBT983061 VRX983059:VRX983061 VIB983059:VIB983061 UYF983059:UYF983061 UOJ983059:UOJ983061 UEN983059:UEN983061 TUR983059:TUR983061 TKV983059:TKV983061 TAZ983059:TAZ983061 SRD983059:SRD983061 SHH983059:SHH983061 RXL983059:RXL983061 RNP983059:RNP983061 RDT983059:RDT983061 QTX983059:QTX983061 QKB983059:QKB983061 QAF983059:QAF983061 PQJ983059:PQJ983061 PGN983059:PGN983061 OWR983059:OWR983061 OMV983059:OMV983061 OCZ983059:OCZ983061 NTD983059:NTD983061 NJH983059:NJH983061 MZL983059:MZL983061 MPP983059:MPP983061 MFT983059:MFT983061 LVX983059:LVX983061 LMB983059:LMB983061 LCF983059:LCF983061 KSJ983059:KSJ983061 KIN983059:KIN983061 JYR983059:JYR983061 JOV983059:JOV983061 JEZ983059:JEZ983061 IVD983059:IVD983061 ILH983059:ILH983061 IBL983059:IBL983061 HRP983059:HRP983061 HHT983059:HHT983061 GXX983059:GXX983061 GOB983059:GOB983061 GEF983059:GEF983061 FUJ983059:FUJ983061 FKN983059:FKN983061 FAR983059:FAR983061 EQV983059:EQV983061 EGZ983059:EGZ983061 DXD983059:DXD983061 DNH983059:DNH983061 DDL983059:DDL983061 CTP983059:CTP983061 CJT983059:CJT983061 BZX983059:BZX983061 BQB983059:BQB983061 BGF983059:BGF983061 AWJ983059:AWJ983061 AMN983059:AMN983061 ACR983059:ACR983061 SV983059:SV983061 IZ983059:IZ983061 D983059:D983061 WVL917523:WVL917525 WLP917523:WLP917525 WBT917523:WBT917525 VRX917523:VRX917525 VIB917523:VIB917525 UYF917523:UYF917525 UOJ917523:UOJ917525 UEN917523:UEN917525 TUR917523:TUR917525 TKV917523:TKV917525 TAZ917523:TAZ917525 SRD917523:SRD917525 SHH917523:SHH917525 RXL917523:RXL917525 RNP917523:RNP917525 RDT917523:RDT917525 QTX917523:QTX917525 QKB917523:QKB917525 QAF917523:QAF917525 PQJ917523:PQJ917525 PGN917523:PGN917525 OWR917523:OWR917525 OMV917523:OMV917525 OCZ917523:OCZ917525 NTD917523:NTD917525 NJH917523:NJH917525 MZL917523:MZL917525 MPP917523:MPP917525 MFT917523:MFT917525 LVX917523:LVX917525 LMB917523:LMB917525 LCF917523:LCF917525 KSJ917523:KSJ917525 KIN917523:KIN917525 JYR917523:JYR917525 JOV917523:JOV917525 JEZ917523:JEZ917525 IVD917523:IVD917525 ILH917523:ILH917525 IBL917523:IBL917525 HRP917523:HRP917525 HHT917523:HHT917525 GXX917523:GXX917525 GOB917523:GOB917525 GEF917523:GEF917525 FUJ917523:FUJ917525 FKN917523:FKN917525 FAR917523:FAR917525 EQV917523:EQV917525 EGZ917523:EGZ917525 DXD917523:DXD917525 DNH917523:DNH917525 DDL917523:DDL917525 CTP917523:CTP917525 CJT917523:CJT917525 BZX917523:BZX917525 BQB917523:BQB917525 BGF917523:BGF917525 AWJ917523:AWJ917525 AMN917523:AMN917525 ACR917523:ACR917525 SV917523:SV917525 IZ917523:IZ917525 D917523:D917525 WVL851987:WVL851989 WLP851987:WLP851989 WBT851987:WBT851989 VRX851987:VRX851989 VIB851987:VIB851989 UYF851987:UYF851989 UOJ851987:UOJ851989 UEN851987:UEN851989 TUR851987:TUR851989 TKV851987:TKV851989 TAZ851987:TAZ851989 SRD851987:SRD851989 SHH851987:SHH851989 RXL851987:RXL851989 RNP851987:RNP851989 RDT851987:RDT851989 QTX851987:QTX851989 QKB851987:QKB851989 QAF851987:QAF851989 PQJ851987:PQJ851989 PGN851987:PGN851989 OWR851987:OWR851989 OMV851987:OMV851989 OCZ851987:OCZ851989 NTD851987:NTD851989 NJH851987:NJH851989 MZL851987:MZL851989 MPP851987:MPP851989 MFT851987:MFT851989 LVX851987:LVX851989 LMB851987:LMB851989 LCF851987:LCF851989 KSJ851987:KSJ851989 KIN851987:KIN851989 JYR851987:JYR851989 JOV851987:JOV851989 JEZ851987:JEZ851989 IVD851987:IVD851989 ILH851987:ILH851989 IBL851987:IBL851989 HRP851987:HRP851989 HHT851987:HHT851989 GXX851987:GXX851989 GOB851987:GOB851989 GEF851987:GEF851989 FUJ851987:FUJ851989 FKN851987:FKN851989 FAR851987:FAR851989 EQV851987:EQV851989 EGZ851987:EGZ851989 DXD851987:DXD851989 DNH851987:DNH851989 DDL851987:DDL851989 CTP851987:CTP851989 CJT851987:CJT851989 BZX851987:BZX851989 BQB851987:BQB851989 BGF851987:BGF851989 AWJ851987:AWJ851989 AMN851987:AMN851989 ACR851987:ACR851989 SV851987:SV851989 IZ851987:IZ851989 D851987:D851989 WVL786451:WVL786453 WLP786451:WLP786453 WBT786451:WBT786453 VRX786451:VRX786453 VIB786451:VIB786453 UYF786451:UYF786453 UOJ786451:UOJ786453 UEN786451:UEN786453 TUR786451:TUR786453 TKV786451:TKV786453 TAZ786451:TAZ786453 SRD786451:SRD786453 SHH786451:SHH786453 RXL786451:RXL786453 RNP786451:RNP786453 RDT786451:RDT786453 QTX786451:QTX786453 QKB786451:QKB786453 QAF786451:QAF786453 PQJ786451:PQJ786453 PGN786451:PGN786453 OWR786451:OWR786453 OMV786451:OMV786453 OCZ786451:OCZ786453 NTD786451:NTD786453 NJH786451:NJH786453 MZL786451:MZL786453 MPP786451:MPP786453 MFT786451:MFT786453 LVX786451:LVX786453 LMB786451:LMB786453 LCF786451:LCF786453 KSJ786451:KSJ786453 KIN786451:KIN786453 JYR786451:JYR786453 JOV786451:JOV786453 JEZ786451:JEZ786453 IVD786451:IVD786453 ILH786451:ILH786453 IBL786451:IBL786453 HRP786451:HRP786453 HHT786451:HHT786453 GXX786451:GXX786453 GOB786451:GOB786453 GEF786451:GEF786453 FUJ786451:FUJ786453 FKN786451:FKN786453 FAR786451:FAR786453 EQV786451:EQV786453 EGZ786451:EGZ786453 DXD786451:DXD786453 DNH786451:DNH786453 DDL786451:DDL786453 CTP786451:CTP786453 CJT786451:CJT786453 BZX786451:BZX786453 BQB786451:BQB786453 BGF786451:BGF786453 AWJ786451:AWJ786453 AMN786451:AMN786453 ACR786451:ACR786453 SV786451:SV786453 IZ786451:IZ786453 D786451:D786453 WVL720915:WVL720917 WLP720915:WLP720917 WBT720915:WBT720917 VRX720915:VRX720917 VIB720915:VIB720917 UYF720915:UYF720917 UOJ720915:UOJ720917 UEN720915:UEN720917 TUR720915:TUR720917 TKV720915:TKV720917 TAZ720915:TAZ720917 SRD720915:SRD720917 SHH720915:SHH720917 RXL720915:RXL720917 RNP720915:RNP720917 RDT720915:RDT720917 QTX720915:QTX720917 QKB720915:QKB720917 QAF720915:QAF720917 PQJ720915:PQJ720917 PGN720915:PGN720917 OWR720915:OWR720917 OMV720915:OMV720917 OCZ720915:OCZ720917 NTD720915:NTD720917 NJH720915:NJH720917 MZL720915:MZL720917 MPP720915:MPP720917 MFT720915:MFT720917 LVX720915:LVX720917 LMB720915:LMB720917 LCF720915:LCF720917 KSJ720915:KSJ720917 KIN720915:KIN720917 JYR720915:JYR720917 JOV720915:JOV720917 JEZ720915:JEZ720917 IVD720915:IVD720917 ILH720915:ILH720917 IBL720915:IBL720917 HRP720915:HRP720917 HHT720915:HHT720917 GXX720915:GXX720917 GOB720915:GOB720917 GEF720915:GEF720917 FUJ720915:FUJ720917 FKN720915:FKN720917 FAR720915:FAR720917 EQV720915:EQV720917 EGZ720915:EGZ720917 DXD720915:DXD720917 DNH720915:DNH720917 DDL720915:DDL720917 CTP720915:CTP720917 CJT720915:CJT720917 BZX720915:BZX720917 BQB720915:BQB720917 BGF720915:BGF720917 AWJ720915:AWJ720917 AMN720915:AMN720917 ACR720915:ACR720917 SV720915:SV720917 IZ720915:IZ720917 D720915:D720917 WVL655379:WVL655381 WLP655379:WLP655381 WBT655379:WBT655381 VRX655379:VRX655381 VIB655379:VIB655381 UYF655379:UYF655381 UOJ655379:UOJ655381 UEN655379:UEN655381 TUR655379:TUR655381 TKV655379:TKV655381 TAZ655379:TAZ655381 SRD655379:SRD655381 SHH655379:SHH655381 RXL655379:RXL655381 RNP655379:RNP655381 RDT655379:RDT655381 QTX655379:QTX655381 QKB655379:QKB655381 QAF655379:QAF655381 PQJ655379:PQJ655381 PGN655379:PGN655381 OWR655379:OWR655381 OMV655379:OMV655381 OCZ655379:OCZ655381 NTD655379:NTD655381 NJH655379:NJH655381 MZL655379:MZL655381 MPP655379:MPP655381 MFT655379:MFT655381 LVX655379:LVX655381 LMB655379:LMB655381 LCF655379:LCF655381 KSJ655379:KSJ655381 KIN655379:KIN655381 JYR655379:JYR655381 JOV655379:JOV655381 JEZ655379:JEZ655381 IVD655379:IVD655381 ILH655379:ILH655381 IBL655379:IBL655381 HRP655379:HRP655381 HHT655379:HHT655381 GXX655379:GXX655381 GOB655379:GOB655381 GEF655379:GEF655381 FUJ655379:FUJ655381 FKN655379:FKN655381 FAR655379:FAR655381 EQV655379:EQV655381 EGZ655379:EGZ655381 DXD655379:DXD655381 DNH655379:DNH655381 DDL655379:DDL655381 CTP655379:CTP655381 CJT655379:CJT655381 BZX655379:BZX655381 BQB655379:BQB655381 BGF655379:BGF655381 AWJ655379:AWJ655381 AMN655379:AMN655381 ACR655379:ACR655381 SV655379:SV655381 IZ655379:IZ655381 D655379:D655381 WVL589843:WVL589845 WLP589843:WLP589845 WBT589843:WBT589845 VRX589843:VRX589845 VIB589843:VIB589845 UYF589843:UYF589845 UOJ589843:UOJ589845 UEN589843:UEN589845 TUR589843:TUR589845 TKV589843:TKV589845 TAZ589843:TAZ589845 SRD589843:SRD589845 SHH589843:SHH589845 RXL589843:RXL589845 RNP589843:RNP589845 RDT589843:RDT589845 QTX589843:QTX589845 QKB589843:QKB589845 QAF589843:QAF589845 PQJ589843:PQJ589845 PGN589843:PGN589845 OWR589843:OWR589845 OMV589843:OMV589845 OCZ589843:OCZ589845 NTD589843:NTD589845 NJH589843:NJH589845 MZL589843:MZL589845 MPP589843:MPP589845 MFT589843:MFT589845 LVX589843:LVX589845 LMB589843:LMB589845 LCF589843:LCF589845 KSJ589843:KSJ589845 KIN589843:KIN589845 JYR589843:JYR589845 JOV589843:JOV589845 JEZ589843:JEZ589845 IVD589843:IVD589845 ILH589843:ILH589845 IBL589843:IBL589845 HRP589843:HRP589845 HHT589843:HHT589845 GXX589843:GXX589845 GOB589843:GOB589845 GEF589843:GEF589845 FUJ589843:FUJ589845 FKN589843:FKN589845 FAR589843:FAR589845 EQV589843:EQV589845 EGZ589843:EGZ589845 DXD589843:DXD589845 DNH589843:DNH589845 DDL589843:DDL589845 CTP589843:CTP589845 CJT589843:CJT589845 BZX589843:BZX589845 BQB589843:BQB589845 BGF589843:BGF589845 AWJ589843:AWJ589845 AMN589843:AMN589845 ACR589843:ACR589845 SV589843:SV589845 IZ589843:IZ589845 D589843:D589845 WVL524307:WVL524309 WLP524307:WLP524309 WBT524307:WBT524309 VRX524307:VRX524309 VIB524307:VIB524309 UYF524307:UYF524309 UOJ524307:UOJ524309 UEN524307:UEN524309 TUR524307:TUR524309 TKV524307:TKV524309 TAZ524307:TAZ524309 SRD524307:SRD524309 SHH524307:SHH524309 RXL524307:RXL524309 RNP524307:RNP524309 RDT524307:RDT524309 QTX524307:QTX524309 QKB524307:QKB524309 QAF524307:QAF524309 PQJ524307:PQJ524309 PGN524307:PGN524309 OWR524307:OWR524309 OMV524307:OMV524309 OCZ524307:OCZ524309 NTD524307:NTD524309 NJH524307:NJH524309 MZL524307:MZL524309 MPP524307:MPP524309 MFT524307:MFT524309 LVX524307:LVX524309 LMB524307:LMB524309 LCF524307:LCF524309 KSJ524307:KSJ524309 KIN524307:KIN524309 JYR524307:JYR524309 JOV524307:JOV524309 JEZ524307:JEZ524309 IVD524307:IVD524309 ILH524307:ILH524309 IBL524307:IBL524309 HRP524307:HRP524309 HHT524307:HHT524309 GXX524307:GXX524309 GOB524307:GOB524309 GEF524307:GEF524309 FUJ524307:FUJ524309 FKN524307:FKN524309 FAR524307:FAR524309 EQV524307:EQV524309 EGZ524307:EGZ524309 DXD524307:DXD524309 DNH524307:DNH524309 DDL524307:DDL524309 CTP524307:CTP524309 CJT524307:CJT524309 BZX524307:BZX524309 BQB524307:BQB524309 BGF524307:BGF524309 AWJ524307:AWJ524309 AMN524307:AMN524309 ACR524307:ACR524309 SV524307:SV524309 IZ524307:IZ524309 D524307:D524309 WVL458771:WVL458773 WLP458771:WLP458773 WBT458771:WBT458773 VRX458771:VRX458773 VIB458771:VIB458773 UYF458771:UYF458773 UOJ458771:UOJ458773 UEN458771:UEN458773 TUR458771:TUR458773 TKV458771:TKV458773 TAZ458771:TAZ458773 SRD458771:SRD458773 SHH458771:SHH458773 RXL458771:RXL458773 RNP458771:RNP458773 RDT458771:RDT458773 QTX458771:QTX458773 QKB458771:QKB458773 QAF458771:QAF458773 PQJ458771:PQJ458773 PGN458771:PGN458773 OWR458771:OWR458773 OMV458771:OMV458773 OCZ458771:OCZ458773 NTD458771:NTD458773 NJH458771:NJH458773 MZL458771:MZL458773 MPP458771:MPP458773 MFT458771:MFT458773 LVX458771:LVX458773 LMB458771:LMB458773 LCF458771:LCF458773 KSJ458771:KSJ458773 KIN458771:KIN458773 JYR458771:JYR458773 JOV458771:JOV458773 JEZ458771:JEZ458773 IVD458771:IVD458773 ILH458771:ILH458773 IBL458771:IBL458773 HRP458771:HRP458773 HHT458771:HHT458773 GXX458771:GXX458773 GOB458771:GOB458773 GEF458771:GEF458773 FUJ458771:FUJ458773 FKN458771:FKN458773 FAR458771:FAR458773 EQV458771:EQV458773 EGZ458771:EGZ458773 DXD458771:DXD458773 DNH458771:DNH458773 DDL458771:DDL458773 CTP458771:CTP458773 CJT458771:CJT458773 BZX458771:BZX458773 BQB458771:BQB458773 BGF458771:BGF458773 AWJ458771:AWJ458773 AMN458771:AMN458773 ACR458771:ACR458773 SV458771:SV458773 IZ458771:IZ458773 D458771:D458773 WVL393235:WVL393237 WLP393235:WLP393237 WBT393235:WBT393237 VRX393235:VRX393237 VIB393235:VIB393237 UYF393235:UYF393237 UOJ393235:UOJ393237 UEN393235:UEN393237 TUR393235:TUR393237 TKV393235:TKV393237 TAZ393235:TAZ393237 SRD393235:SRD393237 SHH393235:SHH393237 RXL393235:RXL393237 RNP393235:RNP393237 RDT393235:RDT393237 QTX393235:QTX393237 QKB393235:QKB393237 QAF393235:QAF393237 PQJ393235:PQJ393237 PGN393235:PGN393237 OWR393235:OWR393237 OMV393235:OMV393237 OCZ393235:OCZ393237 NTD393235:NTD393237 NJH393235:NJH393237 MZL393235:MZL393237 MPP393235:MPP393237 MFT393235:MFT393237 LVX393235:LVX393237 LMB393235:LMB393237 LCF393235:LCF393237 KSJ393235:KSJ393237 KIN393235:KIN393237 JYR393235:JYR393237 JOV393235:JOV393237 JEZ393235:JEZ393237 IVD393235:IVD393237 ILH393235:ILH393237 IBL393235:IBL393237 HRP393235:HRP393237 HHT393235:HHT393237 GXX393235:GXX393237 GOB393235:GOB393237 GEF393235:GEF393237 FUJ393235:FUJ393237 FKN393235:FKN393237 FAR393235:FAR393237 EQV393235:EQV393237 EGZ393235:EGZ393237 DXD393235:DXD393237 DNH393235:DNH393237 DDL393235:DDL393237 CTP393235:CTP393237 CJT393235:CJT393237 BZX393235:BZX393237 BQB393235:BQB393237 BGF393235:BGF393237 AWJ393235:AWJ393237 AMN393235:AMN393237 ACR393235:ACR393237 SV393235:SV393237 IZ393235:IZ393237 D393235:D393237 WVL327699:WVL327701 WLP327699:WLP327701 WBT327699:WBT327701 VRX327699:VRX327701 VIB327699:VIB327701 UYF327699:UYF327701 UOJ327699:UOJ327701 UEN327699:UEN327701 TUR327699:TUR327701 TKV327699:TKV327701 TAZ327699:TAZ327701 SRD327699:SRD327701 SHH327699:SHH327701 RXL327699:RXL327701 RNP327699:RNP327701 RDT327699:RDT327701 QTX327699:QTX327701 QKB327699:QKB327701 QAF327699:QAF327701 PQJ327699:PQJ327701 PGN327699:PGN327701 OWR327699:OWR327701 OMV327699:OMV327701 OCZ327699:OCZ327701 NTD327699:NTD327701 NJH327699:NJH327701 MZL327699:MZL327701 MPP327699:MPP327701 MFT327699:MFT327701 LVX327699:LVX327701 LMB327699:LMB327701 LCF327699:LCF327701 KSJ327699:KSJ327701 KIN327699:KIN327701 JYR327699:JYR327701 JOV327699:JOV327701 JEZ327699:JEZ327701 IVD327699:IVD327701 ILH327699:ILH327701 IBL327699:IBL327701 HRP327699:HRP327701 HHT327699:HHT327701 GXX327699:GXX327701 GOB327699:GOB327701 GEF327699:GEF327701 FUJ327699:FUJ327701 FKN327699:FKN327701 FAR327699:FAR327701 EQV327699:EQV327701 EGZ327699:EGZ327701 DXD327699:DXD327701 DNH327699:DNH327701 DDL327699:DDL327701 CTP327699:CTP327701 CJT327699:CJT327701 BZX327699:BZX327701 BQB327699:BQB327701 BGF327699:BGF327701 AWJ327699:AWJ327701 AMN327699:AMN327701 ACR327699:ACR327701 SV327699:SV327701 IZ327699:IZ327701 D327699:D327701 WVL262163:WVL262165 WLP262163:WLP262165 WBT262163:WBT262165 VRX262163:VRX262165 VIB262163:VIB262165 UYF262163:UYF262165 UOJ262163:UOJ262165 UEN262163:UEN262165 TUR262163:TUR262165 TKV262163:TKV262165 TAZ262163:TAZ262165 SRD262163:SRD262165 SHH262163:SHH262165 RXL262163:RXL262165 RNP262163:RNP262165 RDT262163:RDT262165 QTX262163:QTX262165 QKB262163:QKB262165 QAF262163:QAF262165 PQJ262163:PQJ262165 PGN262163:PGN262165 OWR262163:OWR262165 OMV262163:OMV262165 OCZ262163:OCZ262165 NTD262163:NTD262165 NJH262163:NJH262165 MZL262163:MZL262165 MPP262163:MPP262165 MFT262163:MFT262165 LVX262163:LVX262165 LMB262163:LMB262165 LCF262163:LCF262165 KSJ262163:KSJ262165 KIN262163:KIN262165 JYR262163:JYR262165 JOV262163:JOV262165 JEZ262163:JEZ262165 IVD262163:IVD262165 ILH262163:ILH262165 IBL262163:IBL262165 HRP262163:HRP262165 HHT262163:HHT262165 GXX262163:GXX262165 GOB262163:GOB262165 GEF262163:GEF262165 FUJ262163:FUJ262165 FKN262163:FKN262165 FAR262163:FAR262165 EQV262163:EQV262165 EGZ262163:EGZ262165 DXD262163:DXD262165 DNH262163:DNH262165 DDL262163:DDL262165 CTP262163:CTP262165 CJT262163:CJT262165 BZX262163:BZX262165 BQB262163:BQB262165 BGF262163:BGF262165 AWJ262163:AWJ262165 AMN262163:AMN262165 ACR262163:ACR262165 SV262163:SV262165 IZ262163:IZ262165 D262163:D262165 WVL196627:WVL196629 WLP196627:WLP196629 WBT196627:WBT196629 VRX196627:VRX196629 VIB196627:VIB196629 UYF196627:UYF196629 UOJ196627:UOJ196629 UEN196627:UEN196629 TUR196627:TUR196629 TKV196627:TKV196629 TAZ196627:TAZ196629 SRD196627:SRD196629 SHH196627:SHH196629 RXL196627:RXL196629 RNP196627:RNP196629 RDT196627:RDT196629 QTX196627:QTX196629 QKB196627:QKB196629 QAF196627:QAF196629 PQJ196627:PQJ196629 PGN196627:PGN196629 OWR196627:OWR196629 OMV196627:OMV196629 OCZ196627:OCZ196629 NTD196627:NTD196629 NJH196627:NJH196629 MZL196627:MZL196629 MPP196627:MPP196629 MFT196627:MFT196629 LVX196627:LVX196629 LMB196627:LMB196629 LCF196627:LCF196629 KSJ196627:KSJ196629 KIN196627:KIN196629 JYR196627:JYR196629 JOV196627:JOV196629 JEZ196627:JEZ196629 IVD196627:IVD196629 ILH196627:ILH196629 IBL196627:IBL196629 HRP196627:HRP196629 HHT196627:HHT196629 GXX196627:GXX196629 GOB196627:GOB196629 GEF196627:GEF196629 FUJ196627:FUJ196629 FKN196627:FKN196629 FAR196627:FAR196629 EQV196627:EQV196629 EGZ196627:EGZ196629 DXD196627:DXD196629 DNH196627:DNH196629 DDL196627:DDL196629 CTP196627:CTP196629 CJT196627:CJT196629 BZX196627:BZX196629 BQB196627:BQB196629 BGF196627:BGF196629 AWJ196627:AWJ196629 AMN196627:AMN196629 ACR196627:ACR196629 SV196627:SV196629 IZ196627:IZ196629 D196627:D196629 WVL131091:WVL131093 WLP131091:WLP131093 WBT131091:WBT131093 VRX131091:VRX131093 VIB131091:VIB131093 UYF131091:UYF131093 UOJ131091:UOJ131093 UEN131091:UEN131093 TUR131091:TUR131093 TKV131091:TKV131093 TAZ131091:TAZ131093 SRD131091:SRD131093 SHH131091:SHH131093 RXL131091:RXL131093 RNP131091:RNP131093 RDT131091:RDT131093 QTX131091:QTX131093 QKB131091:QKB131093 QAF131091:QAF131093 PQJ131091:PQJ131093 PGN131091:PGN131093 OWR131091:OWR131093 OMV131091:OMV131093 OCZ131091:OCZ131093 NTD131091:NTD131093 NJH131091:NJH131093 MZL131091:MZL131093 MPP131091:MPP131093 MFT131091:MFT131093 LVX131091:LVX131093 LMB131091:LMB131093 LCF131091:LCF131093 KSJ131091:KSJ131093 KIN131091:KIN131093 JYR131091:JYR131093 JOV131091:JOV131093 JEZ131091:JEZ131093 IVD131091:IVD131093 ILH131091:ILH131093 IBL131091:IBL131093 HRP131091:HRP131093 HHT131091:HHT131093 GXX131091:GXX131093 GOB131091:GOB131093 GEF131091:GEF131093 FUJ131091:FUJ131093 FKN131091:FKN131093 FAR131091:FAR131093 EQV131091:EQV131093 EGZ131091:EGZ131093 DXD131091:DXD131093 DNH131091:DNH131093 DDL131091:DDL131093 CTP131091:CTP131093 CJT131091:CJT131093 BZX131091:BZX131093 BQB131091:BQB131093 BGF131091:BGF131093 AWJ131091:AWJ131093 AMN131091:AMN131093 ACR131091:ACR131093 SV131091:SV131093 IZ131091:IZ131093 D131091:D131093 WVL65555:WVL65557 WLP65555:WLP65557 WBT65555:WBT65557 VRX65555:VRX65557 VIB65555:VIB65557 UYF65555:UYF65557 UOJ65555:UOJ65557 UEN65555:UEN65557 TUR65555:TUR65557 TKV65555:TKV65557 TAZ65555:TAZ65557 SRD65555:SRD65557 SHH65555:SHH65557 RXL65555:RXL65557 RNP65555:RNP65557 RDT65555:RDT65557 QTX65555:QTX65557 QKB65555:QKB65557 QAF65555:QAF65557 PQJ65555:PQJ65557 PGN65555:PGN65557 OWR65555:OWR65557 OMV65555:OMV65557 OCZ65555:OCZ65557 NTD65555:NTD65557 NJH65555:NJH65557 MZL65555:MZL65557 MPP65555:MPP65557 MFT65555:MFT65557 LVX65555:LVX65557 LMB65555:LMB65557 LCF65555:LCF65557 KSJ65555:KSJ65557 KIN65555:KIN65557 JYR65555:JYR65557 JOV65555:JOV65557 JEZ65555:JEZ65557 IVD65555:IVD65557 ILH65555:ILH65557 IBL65555:IBL65557 HRP65555:HRP65557 HHT65555:HHT65557 GXX65555:GXX65557 GOB65555:GOB65557 GEF65555:GEF65557 FUJ65555:FUJ65557 FKN65555:FKN65557 FAR65555:FAR65557 EQV65555:EQV65557 EGZ65555:EGZ65557 DXD65555:DXD65557 DNH65555:DNH65557 DDL65555:DDL65557 CTP65555:CTP65557 CJT65555:CJT65557 BZX65555:BZX65557 BQB65555:BQB65557 BGF65555:BGF65557 AWJ65555:AWJ65557 AMN65555:AMN65557 ACR65555:ACR65557 SV65555:SV65557 IZ65555:IZ65557 D65555:D65557 WVL19:WVL21 WLP19:WLP21 WBT19:WBT21 VRX19:VRX21 VIB19:VIB21 UYF19:UYF21 UOJ19:UOJ21 UEN19:UEN21 TUR19:TUR21 TKV19:TKV21 TAZ19:TAZ21 SRD19:SRD21 SHH19:SHH21 RXL19:RXL21 RNP19:RNP21 RDT19:RDT21 QTX19:QTX21 QKB19:QKB21 QAF19:QAF21 PQJ19:PQJ21 PGN19:PGN21 OWR19:OWR21 OMV19:OMV21 OCZ19:OCZ21 NTD19:NTD21 NJH19:NJH21 MZL19:MZL21 MPP19:MPP21 MFT19:MFT21 LVX19:LVX21 LMB19:LMB21 LCF19:LCF21 KSJ19:KSJ21 KIN19:KIN21 JYR19:JYR21 JOV19:JOV21 JEZ19:JEZ21 IVD19:IVD21 ILH19:ILH21 IBL19:IBL21 HRP19:HRP21 HHT19:HHT21 GXX19:GXX21 GOB19:GOB21 GEF19:GEF21 FUJ19:FUJ21 FKN19:FKN21 FAR19:FAR21 EQV19:EQV21 EGZ19:EGZ21 DXD19:DXD21 DNH19:DNH21 DDL19:DDL21 CTP19:CTP21 CJT19:CJT21 BZX19:BZX21 BQB19:BQB21 BGF19:BGF21 AWJ19:AWJ21 AMN19:AMN21 ACR19:ACR21 SV19:SV21 IZ19:IZ21 D19:D21 WVL983085:WVL983087 WLP983085:WLP983087 WBT983085:WBT983087 VRX983085:VRX983087 VIB983085:VIB983087 UYF983085:UYF983087 UOJ983085:UOJ983087 UEN983085:UEN983087 TUR983085:TUR983087 TKV983085:TKV983087 TAZ983085:TAZ983087 SRD983085:SRD983087 SHH983085:SHH983087 RXL983085:RXL983087 RNP983085:RNP983087 RDT983085:RDT983087 QTX983085:QTX983087 QKB983085:QKB983087 QAF983085:QAF983087 PQJ983085:PQJ983087 PGN983085:PGN983087 OWR983085:OWR983087 OMV983085:OMV983087 OCZ983085:OCZ983087 NTD983085:NTD983087 NJH983085:NJH983087 MZL983085:MZL983087 MPP983085:MPP983087 MFT983085:MFT983087 LVX983085:LVX983087 LMB983085:LMB983087 LCF983085:LCF983087 KSJ983085:KSJ983087 KIN983085:KIN983087 JYR983085:JYR983087 JOV983085:JOV983087 JEZ983085:JEZ983087 IVD983085:IVD983087 ILH983085:ILH983087 IBL983085:IBL983087 HRP983085:HRP983087 HHT983085:HHT983087 GXX983085:GXX983087 GOB983085:GOB983087 GEF983085:GEF983087 FUJ983085:FUJ983087 FKN983085:FKN983087 FAR983085:FAR983087 EQV983085:EQV983087 EGZ983085:EGZ983087 DXD983085:DXD983087 DNH983085:DNH983087 DDL983085:DDL983087 CTP983085:CTP983087 CJT983085:CJT983087 BZX983085:BZX983087 BQB983085:BQB983087 BGF983085:BGF983087 AWJ983085:AWJ983087 AMN983085:AMN983087 ACR983085:ACR983087 SV983085:SV983087 IZ983085:IZ983087 D983085:D983087 WVL917549:WVL917551 WLP917549:WLP917551 WBT917549:WBT917551 VRX917549:VRX917551 VIB917549:VIB917551 UYF917549:UYF917551 UOJ917549:UOJ917551 UEN917549:UEN917551 TUR917549:TUR917551 TKV917549:TKV917551 TAZ917549:TAZ917551 SRD917549:SRD917551 SHH917549:SHH917551 RXL917549:RXL917551 RNP917549:RNP917551 RDT917549:RDT917551 QTX917549:QTX917551 QKB917549:QKB917551 QAF917549:QAF917551 PQJ917549:PQJ917551 PGN917549:PGN917551 OWR917549:OWR917551 OMV917549:OMV917551 OCZ917549:OCZ917551 NTD917549:NTD917551 NJH917549:NJH917551 MZL917549:MZL917551 MPP917549:MPP917551 MFT917549:MFT917551 LVX917549:LVX917551 LMB917549:LMB917551 LCF917549:LCF917551 KSJ917549:KSJ917551 KIN917549:KIN917551 JYR917549:JYR917551 JOV917549:JOV917551 JEZ917549:JEZ917551 IVD917549:IVD917551 ILH917549:ILH917551 IBL917549:IBL917551 HRP917549:HRP917551 HHT917549:HHT917551 GXX917549:GXX917551 GOB917549:GOB917551 GEF917549:GEF917551 FUJ917549:FUJ917551 FKN917549:FKN917551 FAR917549:FAR917551 EQV917549:EQV917551 EGZ917549:EGZ917551 DXD917549:DXD917551 DNH917549:DNH917551 DDL917549:DDL917551 CTP917549:CTP917551 CJT917549:CJT917551 BZX917549:BZX917551 BQB917549:BQB917551 BGF917549:BGF917551 AWJ917549:AWJ917551 AMN917549:AMN917551 ACR917549:ACR917551 SV917549:SV917551 IZ917549:IZ917551 D917549:D917551 WVL852013:WVL852015 WLP852013:WLP852015 WBT852013:WBT852015 VRX852013:VRX852015 VIB852013:VIB852015 UYF852013:UYF852015 UOJ852013:UOJ852015 UEN852013:UEN852015 TUR852013:TUR852015 TKV852013:TKV852015 TAZ852013:TAZ852015 SRD852013:SRD852015 SHH852013:SHH852015 RXL852013:RXL852015 RNP852013:RNP852015 RDT852013:RDT852015 QTX852013:QTX852015 QKB852013:QKB852015 QAF852013:QAF852015 PQJ852013:PQJ852015 PGN852013:PGN852015 OWR852013:OWR852015 OMV852013:OMV852015 OCZ852013:OCZ852015 NTD852013:NTD852015 NJH852013:NJH852015 MZL852013:MZL852015 MPP852013:MPP852015 MFT852013:MFT852015 LVX852013:LVX852015 LMB852013:LMB852015 LCF852013:LCF852015 KSJ852013:KSJ852015 KIN852013:KIN852015 JYR852013:JYR852015 JOV852013:JOV852015 JEZ852013:JEZ852015 IVD852013:IVD852015 ILH852013:ILH852015 IBL852013:IBL852015 HRP852013:HRP852015 HHT852013:HHT852015 GXX852013:GXX852015 GOB852013:GOB852015 GEF852013:GEF852015 FUJ852013:FUJ852015 FKN852013:FKN852015 FAR852013:FAR852015 EQV852013:EQV852015 EGZ852013:EGZ852015 DXD852013:DXD852015 DNH852013:DNH852015 DDL852013:DDL852015 CTP852013:CTP852015 CJT852013:CJT852015 BZX852013:BZX852015 BQB852013:BQB852015 BGF852013:BGF852015 AWJ852013:AWJ852015 AMN852013:AMN852015 ACR852013:ACR852015 SV852013:SV852015 IZ852013:IZ852015 D852013:D852015 WVL786477:WVL786479 WLP786477:WLP786479 WBT786477:WBT786479 VRX786477:VRX786479 VIB786477:VIB786479 UYF786477:UYF786479 UOJ786477:UOJ786479 UEN786477:UEN786479 TUR786477:TUR786479 TKV786477:TKV786479 TAZ786477:TAZ786479 SRD786477:SRD786479 SHH786477:SHH786479 RXL786477:RXL786479 RNP786477:RNP786479 RDT786477:RDT786479 QTX786477:QTX786479 QKB786477:QKB786479 QAF786477:QAF786479 PQJ786477:PQJ786479 PGN786477:PGN786479 OWR786477:OWR786479 OMV786477:OMV786479 OCZ786477:OCZ786479 NTD786477:NTD786479 NJH786477:NJH786479 MZL786477:MZL786479 MPP786477:MPP786479 MFT786477:MFT786479 LVX786477:LVX786479 LMB786477:LMB786479 LCF786477:LCF786479 KSJ786477:KSJ786479 KIN786477:KIN786479 JYR786477:JYR786479 JOV786477:JOV786479 JEZ786477:JEZ786479 IVD786477:IVD786479 ILH786477:ILH786479 IBL786477:IBL786479 HRP786477:HRP786479 HHT786477:HHT786479 GXX786477:GXX786479 GOB786477:GOB786479 GEF786477:GEF786479 FUJ786477:FUJ786479 FKN786477:FKN786479 FAR786477:FAR786479 EQV786477:EQV786479 EGZ786477:EGZ786479 DXD786477:DXD786479 DNH786477:DNH786479 DDL786477:DDL786479 CTP786477:CTP786479 CJT786477:CJT786479 BZX786477:BZX786479 BQB786477:BQB786479 BGF786477:BGF786479 AWJ786477:AWJ786479 AMN786477:AMN786479 ACR786477:ACR786479 SV786477:SV786479 IZ786477:IZ786479 D786477:D786479 WVL720941:WVL720943 WLP720941:WLP720943 WBT720941:WBT720943 VRX720941:VRX720943 VIB720941:VIB720943 UYF720941:UYF720943 UOJ720941:UOJ720943 UEN720941:UEN720943 TUR720941:TUR720943 TKV720941:TKV720943 TAZ720941:TAZ720943 SRD720941:SRD720943 SHH720941:SHH720943 RXL720941:RXL720943 RNP720941:RNP720943 RDT720941:RDT720943 QTX720941:QTX720943 QKB720941:QKB720943 QAF720941:QAF720943 PQJ720941:PQJ720943 PGN720941:PGN720943 OWR720941:OWR720943 OMV720941:OMV720943 OCZ720941:OCZ720943 NTD720941:NTD720943 NJH720941:NJH720943 MZL720941:MZL720943 MPP720941:MPP720943 MFT720941:MFT720943 LVX720941:LVX720943 LMB720941:LMB720943 LCF720941:LCF720943 KSJ720941:KSJ720943 KIN720941:KIN720943 JYR720941:JYR720943 JOV720941:JOV720943 JEZ720941:JEZ720943 IVD720941:IVD720943 ILH720941:ILH720943 IBL720941:IBL720943 HRP720941:HRP720943 HHT720941:HHT720943 GXX720941:GXX720943 GOB720941:GOB720943 GEF720941:GEF720943 FUJ720941:FUJ720943 FKN720941:FKN720943 FAR720941:FAR720943 EQV720941:EQV720943 EGZ720941:EGZ720943 DXD720941:DXD720943 DNH720941:DNH720943 DDL720941:DDL720943 CTP720941:CTP720943 CJT720941:CJT720943 BZX720941:BZX720943 BQB720941:BQB720943 BGF720941:BGF720943 AWJ720941:AWJ720943 AMN720941:AMN720943 ACR720941:ACR720943 SV720941:SV720943 IZ720941:IZ720943 D720941:D720943 WVL655405:WVL655407 WLP655405:WLP655407 WBT655405:WBT655407 VRX655405:VRX655407 VIB655405:VIB655407 UYF655405:UYF655407 UOJ655405:UOJ655407 UEN655405:UEN655407 TUR655405:TUR655407 TKV655405:TKV655407 TAZ655405:TAZ655407 SRD655405:SRD655407 SHH655405:SHH655407 RXL655405:RXL655407 RNP655405:RNP655407 RDT655405:RDT655407 QTX655405:QTX655407 QKB655405:QKB655407 QAF655405:QAF655407 PQJ655405:PQJ655407 PGN655405:PGN655407 OWR655405:OWR655407 OMV655405:OMV655407 OCZ655405:OCZ655407 NTD655405:NTD655407 NJH655405:NJH655407 MZL655405:MZL655407 MPP655405:MPP655407 MFT655405:MFT655407 LVX655405:LVX655407 LMB655405:LMB655407 LCF655405:LCF655407 KSJ655405:KSJ655407 KIN655405:KIN655407 JYR655405:JYR655407 JOV655405:JOV655407 JEZ655405:JEZ655407 IVD655405:IVD655407 ILH655405:ILH655407 IBL655405:IBL655407 HRP655405:HRP655407 HHT655405:HHT655407 GXX655405:GXX655407 GOB655405:GOB655407 GEF655405:GEF655407 FUJ655405:FUJ655407 FKN655405:FKN655407 FAR655405:FAR655407 EQV655405:EQV655407 EGZ655405:EGZ655407 DXD655405:DXD655407 DNH655405:DNH655407 DDL655405:DDL655407 CTP655405:CTP655407 CJT655405:CJT655407 BZX655405:BZX655407 BQB655405:BQB655407 BGF655405:BGF655407 AWJ655405:AWJ655407 AMN655405:AMN655407 ACR655405:ACR655407 SV655405:SV655407 IZ655405:IZ655407 D655405:D655407 WVL589869:WVL589871 WLP589869:WLP589871 WBT589869:WBT589871 VRX589869:VRX589871 VIB589869:VIB589871 UYF589869:UYF589871 UOJ589869:UOJ589871 UEN589869:UEN589871 TUR589869:TUR589871 TKV589869:TKV589871 TAZ589869:TAZ589871 SRD589869:SRD589871 SHH589869:SHH589871 RXL589869:RXL589871 RNP589869:RNP589871 RDT589869:RDT589871 QTX589869:QTX589871 QKB589869:QKB589871 QAF589869:QAF589871 PQJ589869:PQJ589871 PGN589869:PGN589871 OWR589869:OWR589871 OMV589869:OMV589871 OCZ589869:OCZ589871 NTD589869:NTD589871 NJH589869:NJH589871 MZL589869:MZL589871 MPP589869:MPP589871 MFT589869:MFT589871 LVX589869:LVX589871 LMB589869:LMB589871 LCF589869:LCF589871 KSJ589869:KSJ589871 KIN589869:KIN589871 JYR589869:JYR589871 JOV589869:JOV589871 JEZ589869:JEZ589871 IVD589869:IVD589871 ILH589869:ILH589871 IBL589869:IBL589871 HRP589869:HRP589871 HHT589869:HHT589871 GXX589869:GXX589871 GOB589869:GOB589871 GEF589869:GEF589871 FUJ589869:FUJ589871 FKN589869:FKN589871 FAR589869:FAR589871 EQV589869:EQV589871 EGZ589869:EGZ589871 DXD589869:DXD589871 DNH589869:DNH589871 DDL589869:DDL589871 CTP589869:CTP589871 CJT589869:CJT589871 BZX589869:BZX589871 BQB589869:BQB589871 BGF589869:BGF589871 AWJ589869:AWJ589871 AMN589869:AMN589871 ACR589869:ACR589871 SV589869:SV589871 IZ589869:IZ589871 D589869:D589871 WVL524333:WVL524335 WLP524333:WLP524335 WBT524333:WBT524335 VRX524333:VRX524335 VIB524333:VIB524335 UYF524333:UYF524335 UOJ524333:UOJ524335 UEN524333:UEN524335 TUR524333:TUR524335 TKV524333:TKV524335 TAZ524333:TAZ524335 SRD524333:SRD524335 SHH524333:SHH524335 RXL524333:RXL524335 RNP524333:RNP524335 RDT524333:RDT524335 QTX524333:QTX524335 QKB524333:QKB524335 QAF524333:QAF524335 PQJ524333:PQJ524335 PGN524333:PGN524335 OWR524333:OWR524335 OMV524333:OMV524335 OCZ524333:OCZ524335 NTD524333:NTD524335 NJH524333:NJH524335 MZL524333:MZL524335 MPP524333:MPP524335 MFT524333:MFT524335 LVX524333:LVX524335 LMB524333:LMB524335 LCF524333:LCF524335 KSJ524333:KSJ524335 KIN524333:KIN524335 JYR524333:JYR524335 JOV524333:JOV524335 JEZ524333:JEZ524335 IVD524333:IVD524335 ILH524333:ILH524335 IBL524333:IBL524335 HRP524333:HRP524335 HHT524333:HHT524335 GXX524333:GXX524335 GOB524333:GOB524335 GEF524333:GEF524335 FUJ524333:FUJ524335 FKN524333:FKN524335 FAR524333:FAR524335 EQV524333:EQV524335 EGZ524333:EGZ524335 DXD524333:DXD524335 DNH524333:DNH524335 DDL524333:DDL524335 CTP524333:CTP524335 CJT524333:CJT524335 BZX524333:BZX524335 BQB524333:BQB524335 BGF524333:BGF524335 AWJ524333:AWJ524335 AMN524333:AMN524335 ACR524333:ACR524335 SV524333:SV524335 IZ524333:IZ524335 D524333:D524335 WVL458797:WVL458799 WLP458797:WLP458799 WBT458797:WBT458799 VRX458797:VRX458799 VIB458797:VIB458799 UYF458797:UYF458799 UOJ458797:UOJ458799 UEN458797:UEN458799 TUR458797:TUR458799 TKV458797:TKV458799 TAZ458797:TAZ458799 SRD458797:SRD458799 SHH458797:SHH458799 RXL458797:RXL458799 RNP458797:RNP458799 RDT458797:RDT458799 QTX458797:QTX458799 QKB458797:QKB458799 QAF458797:QAF458799 PQJ458797:PQJ458799 PGN458797:PGN458799 OWR458797:OWR458799 OMV458797:OMV458799 OCZ458797:OCZ458799 NTD458797:NTD458799 NJH458797:NJH458799 MZL458797:MZL458799 MPP458797:MPP458799 MFT458797:MFT458799 LVX458797:LVX458799 LMB458797:LMB458799 LCF458797:LCF458799 KSJ458797:KSJ458799 KIN458797:KIN458799 JYR458797:JYR458799 JOV458797:JOV458799 JEZ458797:JEZ458799 IVD458797:IVD458799 ILH458797:ILH458799 IBL458797:IBL458799 HRP458797:HRP458799 HHT458797:HHT458799 GXX458797:GXX458799 GOB458797:GOB458799 GEF458797:GEF458799 FUJ458797:FUJ458799 FKN458797:FKN458799 FAR458797:FAR458799 EQV458797:EQV458799 EGZ458797:EGZ458799 DXD458797:DXD458799 DNH458797:DNH458799 DDL458797:DDL458799 CTP458797:CTP458799 CJT458797:CJT458799 BZX458797:BZX458799 BQB458797:BQB458799 BGF458797:BGF458799 AWJ458797:AWJ458799 AMN458797:AMN458799 ACR458797:ACR458799 SV458797:SV458799 IZ458797:IZ458799 D458797:D458799 WVL393261:WVL393263 WLP393261:WLP393263 WBT393261:WBT393263 VRX393261:VRX393263 VIB393261:VIB393263 UYF393261:UYF393263 UOJ393261:UOJ393263 UEN393261:UEN393263 TUR393261:TUR393263 TKV393261:TKV393263 TAZ393261:TAZ393263 SRD393261:SRD393263 SHH393261:SHH393263 RXL393261:RXL393263 RNP393261:RNP393263 RDT393261:RDT393263 QTX393261:QTX393263 QKB393261:QKB393263 QAF393261:QAF393263 PQJ393261:PQJ393263 PGN393261:PGN393263 OWR393261:OWR393263 OMV393261:OMV393263 OCZ393261:OCZ393263 NTD393261:NTD393263 NJH393261:NJH393263 MZL393261:MZL393263 MPP393261:MPP393263 MFT393261:MFT393263 LVX393261:LVX393263 LMB393261:LMB393263 LCF393261:LCF393263 KSJ393261:KSJ393263 KIN393261:KIN393263 JYR393261:JYR393263 JOV393261:JOV393263 JEZ393261:JEZ393263 IVD393261:IVD393263 ILH393261:ILH393263 IBL393261:IBL393263 HRP393261:HRP393263 HHT393261:HHT393263 GXX393261:GXX393263 GOB393261:GOB393263 GEF393261:GEF393263 FUJ393261:FUJ393263 FKN393261:FKN393263 FAR393261:FAR393263 EQV393261:EQV393263 EGZ393261:EGZ393263 DXD393261:DXD393263 DNH393261:DNH393263 DDL393261:DDL393263 CTP393261:CTP393263 CJT393261:CJT393263 BZX393261:BZX393263 BQB393261:BQB393263 BGF393261:BGF393263 AWJ393261:AWJ393263 AMN393261:AMN393263 ACR393261:ACR393263 SV393261:SV393263 IZ393261:IZ393263 D393261:D393263 WVL327725:WVL327727 WLP327725:WLP327727 WBT327725:WBT327727 VRX327725:VRX327727 VIB327725:VIB327727 UYF327725:UYF327727 UOJ327725:UOJ327727 UEN327725:UEN327727 TUR327725:TUR327727 TKV327725:TKV327727 TAZ327725:TAZ327727 SRD327725:SRD327727 SHH327725:SHH327727 RXL327725:RXL327727 RNP327725:RNP327727 RDT327725:RDT327727 QTX327725:QTX327727 QKB327725:QKB327727 QAF327725:QAF327727 PQJ327725:PQJ327727 PGN327725:PGN327727 OWR327725:OWR327727 OMV327725:OMV327727 OCZ327725:OCZ327727 NTD327725:NTD327727 NJH327725:NJH327727 MZL327725:MZL327727 MPP327725:MPP327727 MFT327725:MFT327727 LVX327725:LVX327727 LMB327725:LMB327727 LCF327725:LCF327727 KSJ327725:KSJ327727 KIN327725:KIN327727 JYR327725:JYR327727 JOV327725:JOV327727 JEZ327725:JEZ327727 IVD327725:IVD327727 ILH327725:ILH327727 IBL327725:IBL327727 HRP327725:HRP327727 HHT327725:HHT327727 GXX327725:GXX327727 GOB327725:GOB327727 GEF327725:GEF327727 FUJ327725:FUJ327727 FKN327725:FKN327727 FAR327725:FAR327727 EQV327725:EQV327727 EGZ327725:EGZ327727 DXD327725:DXD327727 DNH327725:DNH327727 DDL327725:DDL327727 CTP327725:CTP327727 CJT327725:CJT327727 BZX327725:BZX327727 BQB327725:BQB327727 BGF327725:BGF327727 AWJ327725:AWJ327727 AMN327725:AMN327727 ACR327725:ACR327727 SV327725:SV327727 IZ327725:IZ327727 D327725:D327727 WVL262189:WVL262191 WLP262189:WLP262191 WBT262189:WBT262191 VRX262189:VRX262191 VIB262189:VIB262191 UYF262189:UYF262191 UOJ262189:UOJ262191 UEN262189:UEN262191 TUR262189:TUR262191 TKV262189:TKV262191 TAZ262189:TAZ262191 SRD262189:SRD262191 SHH262189:SHH262191 RXL262189:RXL262191 RNP262189:RNP262191 RDT262189:RDT262191 QTX262189:QTX262191 QKB262189:QKB262191 QAF262189:QAF262191 PQJ262189:PQJ262191 PGN262189:PGN262191 OWR262189:OWR262191 OMV262189:OMV262191 OCZ262189:OCZ262191 NTD262189:NTD262191 NJH262189:NJH262191 MZL262189:MZL262191 MPP262189:MPP262191 MFT262189:MFT262191 LVX262189:LVX262191 LMB262189:LMB262191 LCF262189:LCF262191 KSJ262189:KSJ262191 KIN262189:KIN262191 JYR262189:JYR262191 JOV262189:JOV262191 JEZ262189:JEZ262191 IVD262189:IVD262191 ILH262189:ILH262191 IBL262189:IBL262191 HRP262189:HRP262191 HHT262189:HHT262191 GXX262189:GXX262191 GOB262189:GOB262191 GEF262189:GEF262191 FUJ262189:FUJ262191 FKN262189:FKN262191 FAR262189:FAR262191 EQV262189:EQV262191 EGZ262189:EGZ262191 DXD262189:DXD262191 DNH262189:DNH262191 DDL262189:DDL262191 CTP262189:CTP262191 CJT262189:CJT262191 BZX262189:BZX262191 BQB262189:BQB262191 BGF262189:BGF262191 AWJ262189:AWJ262191 AMN262189:AMN262191 ACR262189:ACR262191 SV262189:SV262191 IZ262189:IZ262191 D262189:D262191 WVL196653:WVL196655 WLP196653:WLP196655 WBT196653:WBT196655 VRX196653:VRX196655 VIB196653:VIB196655 UYF196653:UYF196655 UOJ196653:UOJ196655 UEN196653:UEN196655 TUR196653:TUR196655 TKV196653:TKV196655 TAZ196653:TAZ196655 SRD196653:SRD196655 SHH196653:SHH196655 RXL196653:RXL196655 RNP196653:RNP196655 RDT196653:RDT196655 QTX196653:QTX196655 QKB196653:QKB196655 QAF196653:QAF196655 PQJ196653:PQJ196655 PGN196653:PGN196655 OWR196653:OWR196655 OMV196653:OMV196655 OCZ196653:OCZ196655 NTD196653:NTD196655 NJH196653:NJH196655 MZL196653:MZL196655 MPP196653:MPP196655 MFT196653:MFT196655 LVX196653:LVX196655 LMB196653:LMB196655 LCF196653:LCF196655 KSJ196653:KSJ196655 KIN196653:KIN196655 JYR196653:JYR196655 JOV196653:JOV196655 JEZ196653:JEZ196655 IVD196653:IVD196655 ILH196653:ILH196655 IBL196653:IBL196655 HRP196653:HRP196655 HHT196653:HHT196655 GXX196653:GXX196655 GOB196653:GOB196655 GEF196653:GEF196655 FUJ196653:FUJ196655 FKN196653:FKN196655 FAR196653:FAR196655 EQV196653:EQV196655 EGZ196653:EGZ196655 DXD196653:DXD196655 DNH196653:DNH196655 DDL196653:DDL196655 CTP196653:CTP196655 CJT196653:CJT196655 BZX196653:BZX196655 BQB196653:BQB196655 BGF196653:BGF196655 AWJ196653:AWJ196655 AMN196653:AMN196655 ACR196653:ACR196655 SV196653:SV196655 IZ196653:IZ196655 D196653:D196655 WVL131117:WVL131119 WLP131117:WLP131119 WBT131117:WBT131119 VRX131117:VRX131119 VIB131117:VIB131119 UYF131117:UYF131119 UOJ131117:UOJ131119 UEN131117:UEN131119 TUR131117:TUR131119 TKV131117:TKV131119 TAZ131117:TAZ131119 SRD131117:SRD131119 SHH131117:SHH131119 RXL131117:RXL131119 RNP131117:RNP131119 RDT131117:RDT131119 QTX131117:QTX131119 QKB131117:QKB131119 QAF131117:QAF131119 PQJ131117:PQJ131119 PGN131117:PGN131119 OWR131117:OWR131119 OMV131117:OMV131119 OCZ131117:OCZ131119 NTD131117:NTD131119 NJH131117:NJH131119 MZL131117:MZL131119 MPP131117:MPP131119 MFT131117:MFT131119 LVX131117:LVX131119 LMB131117:LMB131119 LCF131117:LCF131119 KSJ131117:KSJ131119 KIN131117:KIN131119 JYR131117:JYR131119 JOV131117:JOV131119 JEZ131117:JEZ131119 IVD131117:IVD131119 ILH131117:ILH131119 IBL131117:IBL131119 HRP131117:HRP131119 HHT131117:HHT131119 GXX131117:GXX131119 GOB131117:GOB131119 GEF131117:GEF131119 FUJ131117:FUJ131119 FKN131117:FKN131119 FAR131117:FAR131119 EQV131117:EQV131119 EGZ131117:EGZ131119 DXD131117:DXD131119 DNH131117:DNH131119 DDL131117:DDL131119 CTP131117:CTP131119 CJT131117:CJT131119 BZX131117:BZX131119 BQB131117:BQB131119 BGF131117:BGF131119 AWJ131117:AWJ131119 AMN131117:AMN131119 ACR131117:ACR131119 SV131117:SV131119 IZ131117:IZ131119 D131117:D131119 WVL65581:WVL65583 WLP65581:WLP65583 WBT65581:WBT65583 VRX65581:VRX65583 VIB65581:VIB65583 UYF65581:UYF65583 UOJ65581:UOJ65583 UEN65581:UEN65583 TUR65581:TUR65583 TKV65581:TKV65583 TAZ65581:TAZ65583 SRD65581:SRD65583 SHH65581:SHH65583 RXL65581:RXL65583 RNP65581:RNP65583 RDT65581:RDT65583 QTX65581:QTX65583 QKB65581:QKB65583 QAF65581:QAF65583 PQJ65581:PQJ65583 PGN65581:PGN65583 OWR65581:OWR65583 OMV65581:OMV65583 OCZ65581:OCZ65583 NTD65581:NTD65583 NJH65581:NJH65583 MZL65581:MZL65583 MPP65581:MPP65583 MFT65581:MFT65583 LVX65581:LVX65583 LMB65581:LMB65583 LCF65581:LCF65583 KSJ65581:KSJ65583 KIN65581:KIN65583 JYR65581:JYR65583 JOV65581:JOV65583 JEZ65581:JEZ65583 IVD65581:IVD65583 ILH65581:ILH65583 IBL65581:IBL65583 HRP65581:HRP65583 HHT65581:HHT65583 GXX65581:GXX65583 GOB65581:GOB65583 GEF65581:GEF65583 FUJ65581:FUJ65583 FKN65581:FKN65583 FAR65581:FAR65583 EQV65581:EQV65583 EGZ65581:EGZ65583 DXD65581:DXD65583 DNH65581:DNH65583 DDL65581:DDL65583 CTP65581:CTP65583 CJT65581:CJT65583 BZX65581:BZX65583 BQB65581:BQB65583 BGF65581:BGF65583 AWJ65581:AWJ65583 AMN65581:AMN65583 ACR65581:ACR65583 SV65581:SV65583 IZ65581:IZ65583 D65581:D65583 WVL45:WVL47 WLP45:WLP47 WBT45:WBT47 VRX45:VRX47 VIB45:VIB47 UYF45:UYF47 UOJ45:UOJ47 UEN45:UEN47 TUR45:TUR47 TKV45:TKV47 TAZ45:TAZ47 SRD45:SRD47 SHH45:SHH47 RXL45:RXL47 RNP45:RNP47 RDT45:RDT47 QTX45:QTX47 QKB45:QKB47 QAF45:QAF47 PQJ45:PQJ47 PGN45:PGN47 OWR45:OWR47 OMV45:OMV47 OCZ45:OCZ47 NTD45:NTD47 NJH45:NJH47 MZL45:MZL47 MPP45:MPP47 MFT45:MFT47 LVX45:LVX47 LMB45:LMB47 LCF45:LCF47 KSJ45:KSJ47 KIN45:KIN47 JYR45:JYR47 JOV45:JOV47 JEZ45:JEZ47 IVD45:IVD47 ILH45:ILH47 IBL45:IBL47 HRP45:HRP47 HHT45:HHT47 GXX45:GXX47 GOB45:GOB47 GEF45:GEF47 FUJ45:FUJ47 FKN45:FKN47 FAR45:FAR47 EQV45:EQV47 EGZ45:EGZ47 DXD45:DXD47 DNH45:DNH47 DDL45:DDL47 CTP45:CTP47 CJT45:CJT47 BZX45:BZX47 BQB45:BQB47 BGF45:BGF47 AWJ45:AWJ47 AMN45:AMN47 ACR45:ACR47 SV45:SV47 IZ45:IZ47 D45:D47 WVL983100:WVL983102 WLP983100:WLP983102 WBT983100:WBT983102 VRX983100:VRX983102 VIB983100:VIB983102 UYF983100:UYF983102 UOJ983100:UOJ983102 UEN983100:UEN983102 TUR983100:TUR983102 TKV983100:TKV983102 TAZ983100:TAZ983102 SRD983100:SRD983102 SHH983100:SHH983102 RXL983100:RXL983102 RNP983100:RNP983102 RDT983100:RDT983102 QTX983100:QTX983102 QKB983100:QKB983102 QAF983100:QAF983102 PQJ983100:PQJ983102 PGN983100:PGN983102 OWR983100:OWR983102 OMV983100:OMV983102 OCZ983100:OCZ983102 NTD983100:NTD983102 NJH983100:NJH983102 MZL983100:MZL983102 MPP983100:MPP983102 MFT983100:MFT983102 LVX983100:LVX983102 LMB983100:LMB983102 LCF983100:LCF983102 KSJ983100:KSJ983102 KIN983100:KIN983102 JYR983100:JYR983102 JOV983100:JOV983102 JEZ983100:JEZ983102 IVD983100:IVD983102 ILH983100:ILH983102 IBL983100:IBL983102 HRP983100:HRP983102 HHT983100:HHT983102 GXX983100:GXX983102 GOB983100:GOB983102 GEF983100:GEF983102 FUJ983100:FUJ983102 FKN983100:FKN983102 FAR983100:FAR983102 EQV983100:EQV983102 EGZ983100:EGZ983102 DXD983100:DXD983102 DNH983100:DNH983102 DDL983100:DDL983102 CTP983100:CTP983102 CJT983100:CJT983102 BZX983100:BZX983102 BQB983100:BQB983102 BGF983100:BGF983102 AWJ983100:AWJ983102 AMN983100:AMN983102 ACR983100:ACR983102 SV983100:SV983102 IZ983100:IZ983102 D983100:D983102 WVL917564:WVL917566 WLP917564:WLP917566 WBT917564:WBT917566 VRX917564:VRX917566 VIB917564:VIB917566 UYF917564:UYF917566 UOJ917564:UOJ917566 UEN917564:UEN917566 TUR917564:TUR917566 TKV917564:TKV917566 TAZ917564:TAZ917566 SRD917564:SRD917566 SHH917564:SHH917566 RXL917564:RXL917566 RNP917564:RNP917566 RDT917564:RDT917566 QTX917564:QTX917566 QKB917564:QKB917566 QAF917564:QAF917566 PQJ917564:PQJ917566 PGN917564:PGN917566 OWR917564:OWR917566 OMV917564:OMV917566 OCZ917564:OCZ917566 NTD917564:NTD917566 NJH917564:NJH917566 MZL917564:MZL917566 MPP917564:MPP917566 MFT917564:MFT917566 LVX917564:LVX917566 LMB917564:LMB917566 LCF917564:LCF917566 KSJ917564:KSJ917566 KIN917564:KIN917566 JYR917564:JYR917566 JOV917564:JOV917566 JEZ917564:JEZ917566 IVD917564:IVD917566 ILH917564:ILH917566 IBL917564:IBL917566 HRP917564:HRP917566 HHT917564:HHT917566 GXX917564:GXX917566 GOB917564:GOB917566 GEF917564:GEF917566 FUJ917564:FUJ917566 FKN917564:FKN917566 FAR917564:FAR917566 EQV917564:EQV917566 EGZ917564:EGZ917566 DXD917564:DXD917566 DNH917564:DNH917566 DDL917564:DDL917566 CTP917564:CTP917566 CJT917564:CJT917566 BZX917564:BZX917566 BQB917564:BQB917566 BGF917564:BGF917566 AWJ917564:AWJ917566 AMN917564:AMN917566 ACR917564:ACR917566 SV917564:SV917566 IZ917564:IZ917566 D917564:D917566 WVL852028:WVL852030 WLP852028:WLP852030 WBT852028:WBT852030 VRX852028:VRX852030 VIB852028:VIB852030 UYF852028:UYF852030 UOJ852028:UOJ852030 UEN852028:UEN852030 TUR852028:TUR852030 TKV852028:TKV852030 TAZ852028:TAZ852030 SRD852028:SRD852030 SHH852028:SHH852030 RXL852028:RXL852030 RNP852028:RNP852030 RDT852028:RDT852030 QTX852028:QTX852030 QKB852028:QKB852030 QAF852028:QAF852030 PQJ852028:PQJ852030 PGN852028:PGN852030 OWR852028:OWR852030 OMV852028:OMV852030 OCZ852028:OCZ852030 NTD852028:NTD852030 NJH852028:NJH852030 MZL852028:MZL852030 MPP852028:MPP852030 MFT852028:MFT852030 LVX852028:LVX852030 LMB852028:LMB852030 LCF852028:LCF852030 KSJ852028:KSJ852030 KIN852028:KIN852030 JYR852028:JYR852030 JOV852028:JOV852030 JEZ852028:JEZ852030 IVD852028:IVD852030 ILH852028:ILH852030 IBL852028:IBL852030 HRP852028:HRP852030 HHT852028:HHT852030 GXX852028:GXX852030 GOB852028:GOB852030 GEF852028:GEF852030 FUJ852028:FUJ852030 FKN852028:FKN852030 FAR852028:FAR852030 EQV852028:EQV852030 EGZ852028:EGZ852030 DXD852028:DXD852030 DNH852028:DNH852030 DDL852028:DDL852030 CTP852028:CTP852030 CJT852028:CJT852030 BZX852028:BZX852030 BQB852028:BQB852030 BGF852028:BGF852030 AWJ852028:AWJ852030 AMN852028:AMN852030 ACR852028:ACR852030 SV852028:SV852030 IZ852028:IZ852030 D852028:D852030 WVL786492:WVL786494 WLP786492:WLP786494 WBT786492:WBT786494 VRX786492:VRX786494 VIB786492:VIB786494 UYF786492:UYF786494 UOJ786492:UOJ786494 UEN786492:UEN786494 TUR786492:TUR786494 TKV786492:TKV786494 TAZ786492:TAZ786494 SRD786492:SRD786494 SHH786492:SHH786494 RXL786492:RXL786494 RNP786492:RNP786494 RDT786492:RDT786494 QTX786492:QTX786494 QKB786492:QKB786494 QAF786492:QAF786494 PQJ786492:PQJ786494 PGN786492:PGN786494 OWR786492:OWR786494 OMV786492:OMV786494 OCZ786492:OCZ786494 NTD786492:NTD786494 NJH786492:NJH786494 MZL786492:MZL786494 MPP786492:MPP786494 MFT786492:MFT786494 LVX786492:LVX786494 LMB786492:LMB786494 LCF786492:LCF786494 KSJ786492:KSJ786494 KIN786492:KIN786494 JYR786492:JYR786494 JOV786492:JOV786494 JEZ786492:JEZ786494 IVD786492:IVD786494 ILH786492:ILH786494 IBL786492:IBL786494 HRP786492:HRP786494 HHT786492:HHT786494 GXX786492:GXX786494 GOB786492:GOB786494 GEF786492:GEF786494 FUJ786492:FUJ786494 FKN786492:FKN786494 FAR786492:FAR786494 EQV786492:EQV786494 EGZ786492:EGZ786494 DXD786492:DXD786494 DNH786492:DNH786494 DDL786492:DDL786494 CTP786492:CTP786494 CJT786492:CJT786494 BZX786492:BZX786494 BQB786492:BQB786494 BGF786492:BGF786494 AWJ786492:AWJ786494 AMN786492:AMN786494 ACR786492:ACR786494 SV786492:SV786494 IZ786492:IZ786494 D786492:D786494 WVL720956:WVL720958 WLP720956:WLP720958 WBT720956:WBT720958 VRX720956:VRX720958 VIB720956:VIB720958 UYF720956:UYF720958 UOJ720956:UOJ720958 UEN720956:UEN720958 TUR720956:TUR720958 TKV720956:TKV720958 TAZ720956:TAZ720958 SRD720956:SRD720958 SHH720956:SHH720958 RXL720956:RXL720958 RNP720956:RNP720958 RDT720956:RDT720958 QTX720956:QTX720958 QKB720956:QKB720958 QAF720956:QAF720958 PQJ720956:PQJ720958 PGN720956:PGN720958 OWR720956:OWR720958 OMV720956:OMV720958 OCZ720956:OCZ720958 NTD720956:NTD720958 NJH720956:NJH720958 MZL720956:MZL720958 MPP720956:MPP720958 MFT720956:MFT720958 LVX720956:LVX720958 LMB720956:LMB720958 LCF720956:LCF720958 KSJ720956:KSJ720958 KIN720956:KIN720958 JYR720956:JYR720958 JOV720956:JOV720958 JEZ720956:JEZ720958 IVD720956:IVD720958 ILH720956:ILH720958 IBL720956:IBL720958 HRP720956:HRP720958 HHT720956:HHT720958 GXX720956:GXX720958 GOB720956:GOB720958 GEF720956:GEF720958 FUJ720956:FUJ720958 FKN720956:FKN720958 FAR720956:FAR720958 EQV720956:EQV720958 EGZ720956:EGZ720958 DXD720956:DXD720958 DNH720956:DNH720958 DDL720956:DDL720958 CTP720956:CTP720958 CJT720956:CJT720958 BZX720956:BZX720958 BQB720956:BQB720958 BGF720956:BGF720958 AWJ720956:AWJ720958 AMN720956:AMN720958 ACR720956:ACR720958 SV720956:SV720958 IZ720956:IZ720958 D720956:D720958 WVL655420:WVL655422 WLP655420:WLP655422 WBT655420:WBT655422 VRX655420:VRX655422 VIB655420:VIB655422 UYF655420:UYF655422 UOJ655420:UOJ655422 UEN655420:UEN655422 TUR655420:TUR655422 TKV655420:TKV655422 TAZ655420:TAZ655422 SRD655420:SRD655422 SHH655420:SHH655422 RXL655420:RXL655422 RNP655420:RNP655422 RDT655420:RDT655422 QTX655420:QTX655422 QKB655420:QKB655422 QAF655420:QAF655422 PQJ655420:PQJ655422 PGN655420:PGN655422 OWR655420:OWR655422 OMV655420:OMV655422 OCZ655420:OCZ655422 NTD655420:NTD655422 NJH655420:NJH655422 MZL655420:MZL655422 MPP655420:MPP655422 MFT655420:MFT655422 LVX655420:LVX655422 LMB655420:LMB655422 LCF655420:LCF655422 KSJ655420:KSJ655422 KIN655420:KIN655422 JYR655420:JYR655422 JOV655420:JOV655422 JEZ655420:JEZ655422 IVD655420:IVD655422 ILH655420:ILH655422 IBL655420:IBL655422 HRP655420:HRP655422 HHT655420:HHT655422 GXX655420:GXX655422 GOB655420:GOB655422 GEF655420:GEF655422 FUJ655420:FUJ655422 FKN655420:FKN655422 FAR655420:FAR655422 EQV655420:EQV655422 EGZ655420:EGZ655422 DXD655420:DXD655422 DNH655420:DNH655422 DDL655420:DDL655422 CTP655420:CTP655422 CJT655420:CJT655422 BZX655420:BZX655422 BQB655420:BQB655422 BGF655420:BGF655422 AWJ655420:AWJ655422 AMN655420:AMN655422 ACR655420:ACR655422 SV655420:SV655422 IZ655420:IZ655422 D655420:D655422 WVL589884:WVL589886 WLP589884:WLP589886 WBT589884:WBT589886 VRX589884:VRX589886 VIB589884:VIB589886 UYF589884:UYF589886 UOJ589884:UOJ589886 UEN589884:UEN589886 TUR589884:TUR589886 TKV589884:TKV589886 TAZ589884:TAZ589886 SRD589884:SRD589886 SHH589884:SHH589886 RXL589884:RXL589886 RNP589884:RNP589886 RDT589884:RDT589886 QTX589884:QTX589886 QKB589884:QKB589886 QAF589884:QAF589886 PQJ589884:PQJ589886 PGN589884:PGN589886 OWR589884:OWR589886 OMV589884:OMV589886 OCZ589884:OCZ589886 NTD589884:NTD589886 NJH589884:NJH589886 MZL589884:MZL589886 MPP589884:MPP589886 MFT589884:MFT589886 LVX589884:LVX589886 LMB589884:LMB589886 LCF589884:LCF589886 KSJ589884:KSJ589886 KIN589884:KIN589886 JYR589884:JYR589886 JOV589884:JOV589886 JEZ589884:JEZ589886 IVD589884:IVD589886 ILH589884:ILH589886 IBL589884:IBL589886 HRP589884:HRP589886 HHT589884:HHT589886 GXX589884:GXX589886 GOB589884:GOB589886 GEF589884:GEF589886 FUJ589884:FUJ589886 FKN589884:FKN589886 FAR589884:FAR589886 EQV589884:EQV589886 EGZ589884:EGZ589886 DXD589884:DXD589886 DNH589884:DNH589886 DDL589884:DDL589886 CTP589884:CTP589886 CJT589884:CJT589886 BZX589884:BZX589886 BQB589884:BQB589886 BGF589884:BGF589886 AWJ589884:AWJ589886 AMN589884:AMN589886 ACR589884:ACR589886 SV589884:SV589886 IZ589884:IZ589886 D589884:D589886 WVL524348:WVL524350 WLP524348:WLP524350 WBT524348:WBT524350 VRX524348:VRX524350 VIB524348:VIB524350 UYF524348:UYF524350 UOJ524348:UOJ524350 UEN524348:UEN524350 TUR524348:TUR524350 TKV524348:TKV524350 TAZ524348:TAZ524350 SRD524348:SRD524350 SHH524348:SHH524350 RXL524348:RXL524350 RNP524348:RNP524350 RDT524348:RDT524350 QTX524348:QTX524350 QKB524348:QKB524350 QAF524348:QAF524350 PQJ524348:PQJ524350 PGN524348:PGN524350 OWR524348:OWR524350 OMV524348:OMV524350 OCZ524348:OCZ524350 NTD524348:NTD524350 NJH524348:NJH524350 MZL524348:MZL524350 MPP524348:MPP524350 MFT524348:MFT524350 LVX524348:LVX524350 LMB524348:LMB524350 LCF524348:LCF524350 KSJ524348:KSJ524350 KIN524348:KIN524350 JYR524348:JYR524350 JOV524348:JOV524350 JEZ524348:JEZ524350 IVD524348:IVD524350 ILH524348:ILH524350 IBL524348:IBL524350 HRP524348:HRP524350 HHT524348:HHT524350 GXX524348:GXX524350 GOB524348:GOB524350 GEF524348:GEF524350 FUJ524348:FUJ524350 FKN524348:FKN524350 FAR524348:FAR524350 EQV524348:EQV524350 EGZ524348:EGZ524350 DXD524348:DXD524350 DNH524348:DNH524350 DDL524348:DDL524350 CTP524348:CTP524350 CJT524348:CJT524350 BZX524348:BZX524350 BQB524348:BQB524350 BGF524348:BGF524350 AWJ524348:AWJ524350 AMN524348:AMN524350 ACR524348:ACR524350 SV524348:SV524350 IZ524348:IZ524350 D524348:D524350 WVL458812:WVL458814 WLP458812:WLP458814 WBT458812:WBT458814 VRX458812:VRX458814 VIB458812:VIB458814 UYF458812:UYF458814 UOJ458812:UOJ458814 UEN458812:UEN458814 TUR458812:TUR458814 TKV458812:TKV458814 TAZ458812:TAZ458814 SRD458812:SRD458814 SHH458812:SHH458814 RXL458812:RXL458814 RNP458812:RNP458814 RDT458812:RDT458814 QTX458812:QTX458814 QKB458812:QKB458814 QAF458812:QAF458814 PQJ458812:PQJ458814 PGN458812:PGN458814 OWR458812:OWR458814 OMV458812:OMV458814 OCZ458812:OCZ458814 NTD458812:NTD458814 NJH458812:NJH458814 MZL458812:MZL458814 MPP458812:MPP458814 MFT458812:MFT458814 LVX458812:LVX458814 LMB458812:LMB458814 LCF458812:LCF458814 KSJ458812:KSJ458814 KIN458812:KIN458814 JYR458812:JYR458814 JOV458812:JOV458814 JEZ458812:JEZ458814 IVD458812:IVD458814 ILH458812:ILH458814 IBL458812:IBL458814 HRP458812:HRP458814 HHT458812:HHT458814 GXX458812:GXX458814 GOB458812:GOB458814 GEF458812:GEF458814 FUJ458812:FUJ458814 FKN458812:FKN458814 FAR458812:FAR458814 EQV458812:EQV458814 EGZ458812:EGZ458814 DXD458812:DXD458814 DNH458812:DNH458814 DDL458812:DDL458814 CTP458812:CTP458814 CJT458812:CJT458814 BZX458812:BZX458814 BQB458812:BQB458814 BGF458812:BGF458814 AWJ458812:AWJ458814 AMN458812:AMN458814 ACR458812:ACR458814 SV458812:SV458814 IZ458812:IZ458814 D458812:D458814 WVL393276:WVL393278 WLP393276:WLP393278 WBT393276:WBT393278 VRX393276:VRX393278 VIB393276:VIB393278 UYF393276:UYF393278 UOJ393276:UOJ393278 UEN393276:UEN393278 TUR393276:TUR393278 TKV393276:TKV393278 TAZ393276:TAZ393278 SRD393276:SRD393278 SHH393276:SHH393278 RXL393276:RXL393278 RNP393276:RNP393278 RDT393276:RDT393278 QTX393276:QTX393278 QKB393276:QKB393278 QAF393276:QAF393278 PQJ393276:PQJ393278 PGN393276:PGN393278 OWR393276:OWR393278 OMV393276:OMV393278 OCZ393276:OCZ393278 NTD393276:NTD393278 NJH393276:NJH393278 MZL393276:MZL393278 MPP393276:MPP393278 MFT393276:MFT393278 LVX393276:LVX393278 LMB393276:LMB393278 LCF393276:LCF393278 KSJ393276:KSJ393278 KIN393276:KIN393278 JYR393276:JYR393278 JOV393276:JOV393278 JEZ393276:JEZ393278 IVD393276:IVD393278 ILH393276:ILH393278 IBL393276:IBL393278 HRP393276:HRP393278 HHT393276:HHT393278 GXX393276:GXX393278 GOB393276:GOB393278 GEF393276:GEF393278 FUJ393276:FUJ393278 FKN393276:FKN393278 FAR393276:FAR393278 EQV393276:EQV393278 EGZ393276:EGZ393278 DXD393276:DXD393278 DNH393276:DNH393278 DDL393276:DDL393278 CTP393276:CTP393278 CJT393276:CJT393278 BZX393276:BZX393278 BQB393276:BQB393278 BGF393276:BGF393278 AWJ393276:AWJ393278 AMN393276:AMN393278 ACR393276:ACR393278 SV393276:SV393278 IZ393276:IZ393278 D393276:D393278 WVL327740:WVL327742 WLP327740:WLP327742 WBT327740:WBT327742 VRX327740:VRX327742 VIB327740:VIB327742 UYF327740:UYF327742 UOJ327740:UOJ327742 UEN327740:UEN327742 TUR327740:TUR327742 TKV327740:TKV327742 TAZ327740:TAZ327742 SRD327740:SRD327742 SHH327740:SHH327742 RXL327740:RXL327742 RNP327740:RNP327742 RDT327740:RDT327742 QTX327740:QTX327742 QKB327740:QKB327742 QAF327740:QAF327742 PQJ327740:PQJ327742 PGN327740:PGN327742 OWR327740:OWR327742 OMV327740:OMV327742 OCZ327740:OCZ327742 NTD327740:NTD327742 NJH327740:NJH327742 MZL327740:MZL327742 MPP327740:MPP327742 MFT327740:MFT327742 LVX327740:LVX327742 LMB327740:LMB327742 LCF327740:LCF327742 KSJ327740:KSJ327742 KIN327740:KIN327742 JYR327740:JYR327742 JOV327740:JOV327742 JEZ327740:JEZ327742 IVD327740:IVD327742 ILH327740:ILH327742 IBL327740:IBL327742 HRP327740:HRP327742 HHT327740:HHT327742 GXX327740:GXX327742 GOB327740:GOB327742 GEF327740:GEF327742 FUJ327740:FUJ327742 FKN327740:FKN327742 FAR327740:FAR327742 EQV327740:EQV327742 EGZ327740:EGZ327742 DXD327740:DXD327742 DNH327740:DNH327742 DDL327740:DDL327742 CTP327740:CTP327742 CJT327740:CJT327742 BZX327740:BZX327742 BQB327740:BQB327742 BGF327740:BGF327742 AWJ327740:AWJ327742 AMN327740:AMN327742 ACR327740:ACR327742 SV327740:SV327742 IZ327740:IZ327742 D327740:D327742 WVL262204:WVL262206 WLP262204:WLP262206 WBT262204:WBT262206 VRX262204:VRX262206 VIB262204:VIB262206 UYF262204:UYF262206 UOJ262204:UOJ262206 UEN262204:UEN262206 TUR262204:TUR262206 TKV262204:TKV262206 TAZ262204:TAZ262206 SRD262204:SRD262206 SHH262204:SHH262206 RXL262204:RXL262206 RNP262204:RNP262206 RDT262204:RDT262206 QTX262204:QTX262206 QKB262204:QKB262206 QAF262204:QAF262206 PQJ262204:PQJ262206 PGN262204:PGN262206 OWR262204:OWR262206 OMV262204:OMV262206 OCZ262204:OCZ262206 NTD262204:NTD262206 NJH262204:NJH262206 MZL262204:MZL262206 MPP262204:MPP262206 MFT262204:MFT262206 LVX262204:LVX262206 LMB262204:LMB262206 LCF262204:LCF262206 KSJ262204:KSJ262206 KIN262204:KIN262206 JYR262204:JYR262206 JOV262204:JOV262206 JEZ262204:JEZ262206 IVD262204:IVD262206 ILH262204:ILH262206 IBL262204:IBL262206 HRP262204:HRP262206 HHT262204:HHT262206 GXX262204:GXX262206 GOB262204:GOB262206 GEF262204:GEF262206 FUJ262204:FUJ262206 FKN262204:FKN262206 FAR262204:FAR262206 EQV262204:EQV262206 EGZ262204:EGZ262206 DXD262204:DXD262206 DNH262204:DNH262206 DDL262204:DDL262206 CTP262204:CTP262206 CJT262204:CJT262206 BZX262204:BZX262206 BQB262204:BQB262206 BGF262204:BGF262206 AWJ262204:AWJ262206 AMN262204:AMN262206 ACR262204:ACR262206 SV262204:SV262206 IZ262204:IZ262206 D262204:D262206 WVL196668:WVL196670 WLP196668:WLP196670 WBT196668:WBT196670 VRX196668:VRX196670 VIB196668:VIB196670 UYF196668:UYF196670 UOJ196668:UOJ196670 UEN196668:UEN196670 TUR196668:TUR196670 TKV196668:TKV196670 TAZ196668:TAZ196670 SRD196668:SRD196670 SHH196668:SHH196670 RXL196668:RXL196670 RNP196668:RNP196670 RDT196668:RDT196670 QTX196668:QTX196670 QKB196668:QKB196670 QAF196668:QAF196670 PQJ196668:PQJ196670 PGN196668:PGN196670 OWR196668:OWR196670 OMV196668:OMV196670 OCZ196668:OCZ196670 NTD196668:NTD196670 NJH196668:NJH196670 MZL196668:MZL196670 MPP196668:MPP196670 MFT196668:MFT196670 LVX196668:LVX196670 LMB196668:LMB196670 LCF196668:LCF196670 KSJ196668:KSJ196670 KIN196668:KIN196670 JYR196668:JYR196670 JOV196668:JOV196670 JEZ196668:JEZ196670 IVD196668:IVD196670 ILH196668:ILH196670 IBL196668:IBL196670 HRP196668:HRP196670 HHT196668:HHT196670 GXX196668:GXX196670 GOB196668:GOB196670 GEF196668:GEF196670 FUJ196668:FUJ196670 FKN196668:FKN196670 FAR196668:FAR196670 EQV196668:EQV196670 EGZ196668:EGZ196670 DXD196668:DXD196670 DNH196668:DNH196670 DDL196668:DDL196670 CTP196668:CTP196670 CJT196668:CJT196670 BZX196668:BZX196670 BQB196668:BQB196670 BGF196668:BGF196670 AWJ196668:AWJ196670 AMN196668:AMN196670 ACR196668:ACR196670 SV196668:SV196670 IZ196668:IZ196670 D196668:D196670 WVL131132:WVL131134 WLP131132:WLP131134 WBT131132:WBT131134 VRX131132:VRX131134 VIB131132:VIB131134 UYF131132:UYF131134 UOJ131132:UOJ131134 UEN131132:UEN131134 TUR131132:TUR131134 TKV131132:TKV131134 TAZ131132:TAZ131134 SRD131132:SRD131134 SHH131132:SHH131134 RXL131132:RXL131134 RNP131132:RNP131134 RDT131132:RDT131134 QTX131132:QTX131134 QKB131132:QKB131134 QAF131132:QAF131134 PQJ131132:PQJ131134 PGN131132:PGN131134 OWR131132:OWR131134 OMV131132:OMV131134 OCZ131132:OCZ131134 NTD131132:NTD131134 NJH131132:NJH131134 MZL131132:MZL131134 MPP131132:MPP131134 MFT131132:MFT131134 LVX131132:LVX131134 LMB131132:LMB131134 LCF131132:LCF131134 KSJ131132:KSJ131134 KIN131132:KIN131134 JYR131132:JYR131134 JOV131132:JOV131134 JEZ131132:JEZ131134 IVD131132:IVD131134 ILH131132:ILH131134 IBL131132:IBL131134 HRP131132:HRP131134 HHT131132:HHT131134 GXX131132:GXX131134 GOB131132:GOB131134 GEF131132:GEF131134 FUJ131132:FUJ131134 FKN131132:FKN131134 FAR131132:FAR131134 EQV131132:EQV131134 EGZ131132:EGZ131134 DXD131132:DXD131134 DNH131132:DNH131134 DDL131132:DDL131134 CTP131132:CTP131134 CJT131132:CJT131134 BZX131132:BZX131134 BQB131132:BQB131134 BGF131132:BGF131134 AWJ131132:AWJ131134 AMN131132:AMN131134 ACR131132:ACR131134 SV131132:SV131134 IZ131132:IZ131134 D131132:D131134 WVL65596:WVL65598 WLP65596:WLP65598 WBT65596:WBT65598 VRX65596:VRX65598 VIB65596:VIB65598 UYF65596:UYF65598 UOJ65596:UOJ65598 UEN65596:UEN65598 TUR65596:TUR65598 TKV65596:TKV65598 TAZ65596:TAZ65598 SRD65596:SRD65598 SHH65596:SHH65598 RXL65596:RXL65598 RNP65596:RNP65598 RDT65596:RDT65598 QTX65596:QTX65598 QKB65596:QKB65598 QAF65596:QAF65598 PQJ65596:PQJ65598 PGN65596:PGN65598 OWR65596:OWR65598 OMV65596:OMV65598 OCZ65596:OCZ65598 NTD65596:NTD65598 NJH65596:NJH65598 MZL65596:MZL65598 MPP65596:MPP65598 MFT65596:MFT65598 LVX65596:LVX65598 LMB65596:LMB65598 LCF65596:LCF65598 KSJ65596:KSJ65598 KIN65596:KIN65598 JYR65596:JYR65598 JOV65596:JOV65598 JEZ65596:JEZ65598 IVD65596:IVD65598 ILH65596:ILH65598 IBL65596:IBL65598 HRP65596:HRP65598 HHT65596:HHT65598 GXX65596:GXX65598 GOB65596:GOB65598 GEF65596:GEF65598 FUJ65596:FUJ65598 FKN65596:FKN65598 FAR65596:FAR65598 EQV65596:EQV65598 EGZ65596:EGZ65598 DXD65596:DXD65598 DNH65596:DNH65598 DDL65596:DDL65598 CTP65596:CTP65598 CJT65596:CJT65598 BZX65596:BZX65598 BQB65596:BQB65598 BGF65596:BGF65598 AWJ65596:AWJ65598 AMN65596:AMN65598 ACR65596:ACR65598 SV65596:SV65598 IZ65596:IZ65598 D65596:D65598 WVL60:WVL62 WLP60:WLP62 WBT60:WBT62 VRX60:VRX62 VIB60:VIB62 UYF60:UYF62 UOJ60:UOJ62 UEN60:UEN62 TUR60:TUR62 TKV60:TKV62 TAZ60:TAZ62 SRD60:SRD62 SHH60:SHH62 RXL60:RXL62 RNP60:RNP62 RDT60:RDT62 QTX60:QTX62 QKB60:QKB62 QAF60:QAF62 PQJ60:PQJ62 PGN60:PGN62 OWR60:OWR62 OMV60:OMV62 OCZ60:OCZ62 NTD60:NTD62 NJH60:NJH62 MZL60:MZL62 MPP60:MPP62 MFT60:MFT62 LVX60:LVX62 LMB60:LMB62 LCF60:LCF62 KSJ60:KSJ62 KIN60:KIN62 JYR60:JYR62 JOV60:JOV62 JEZ60:JEZ62 IVD60:IVD62 ILH60:ILH62 IBL60:IBL62 HRP60:HRP62 HHT60:HHT62 GXX60:GXX62 GOB60:GOB62 GEF60:GEF62 FUJ60:FUJ62 FKN60:FKN62 FAR60:FAR62 EQV60:EQV62 EGZ60:EGZ62 DXD60:DXD62 DNH60:DNH62 DDL60:DDL62 CTP60:CTP62 CJT60:CJT62 BZX60:BZX62 BQB60:BQB62 BGF60:BGF62 AWJ60:AWJ62 AMN60:AMN62 ACR60:ACR62 SV60:SV62 IZ60:IZ62">
      <formula1>$B$4:$M$4</formula1>
    </dataValidation>
    <dataValidation allowBlank="1" showInputMessage="1" showErrorMessage="1" prompt="Deben actualizarse anualmente" sqref="A90 WVI983130 WLM983130 WBQ983130 VRU983130 VHY983130 UYC983130 UOG983130 UEK983130 TUO983130 TKS983130 TAW983130 SRA983130 SHE983130 RXI983130 RNM983130 RDQ983130 QTU983130 QJY983130 QAC983130 PQG983130 PGK983130 OWO983130 OMS983130 OCW983130 NTA983130 NJE983130 MZI983130 MPM983130 MFQ983130 LVU983130 LLY983130 LCC983130 KSG983130 KIK983130 JYO983130 JOS983130 JEW983130 IVA983130 ILE983130 IBI983130 HRM983130 HHQ983130 GXU983130 GNY983130 GEC983130 FUG983130 FKK983130 FAO983130 EQS983130 EGW983130 DXA983130 DNE983130 DDI983130 CTM983130 CJQ983130 BZU983130 BPY983130 BGC983130 AWG983130 AMK983130 ACO983130 SS983130 IW983130 A983130 WVI917594 WLM917594 WBQ917594 VRU917594 VHY917594 UYC917594 UOG917594 UEK917594 TUO917594 TKS917594 TAW917594 SRA917594 SHE917594 RXI917594 RNM917594 RDQ917594 QTU917594 QJY917594 QAC917594 PQG917594 PGK917594 OWO917594 OMS917594 OCW917594 NTA917594 NJE917594 MZI917594 MPM917594 MFQ917594 LVU917594 LLY917594 LCC917594 KSG917594 KIK917594 JYO917594 JOS917594 JEW917594 IVA917594 ILE917594 IBI917594 HRM917594 HHQ917594 GXU917594 GNY917594 GEC917594 FUG917594 FKK917594 FAO917594 EQS917594 EGW917594 DXA917594 DNE917594 DDI917594 CTM917594 CJQ917594 BZU917594 BPY917594 BGC917594 AWG917594 AMK917594 ACO917594 SS917594 IW917594 A917594 WVI852058 WLM852058 WBQ852058 VRU852058 VHY852058 UYC852058 UOG852058 UEK852058 TUO852058 TKS852058 TAW852058 SRA852058 SHE852058 RXI852058 RNM852058 RDQ852058 QTU852058 QJY852058 QAC852058 PQG852058 PGK852058 OWO852058 OMS852058 OCW852058 NTA852058 NJE852058 MZI852058 MPM852058 MFQ852058 LVU852058 LLY852058 LCC852058 KSG852058 KIK852058 JYO852058 JOS852058 JEW852058 IVA852058 ILE852058 IBI852058 HRM852058 HHQ852058 GXU852058 GNY852058 GEC852058 FUG852058 FKK852058 FAO852058 EQS852058 EGW852058 DXA852058 DNE852058 DDI852058 CTM852058 CJQ852058 BZU852058 BPY852058 BGC852058 AWG852058 AMK852058 ACO852058 SS852058 IW852058 A852058 WVI786522 WLM786522 WBQ786522 VRU786522 VHY786522 UYC786522 UOG786522 UEK786522 TUO786522 TKS786522 TAW786522 SRA786522 SHE786522 RXI786522 RNM786522 RDQ786522 QTU786522 QJY786522 QAC786522 PQG786522 PGK786522 OWO786522 OMS786522 OCW786522 NTA786522 NJE786522 MZI786522 MPM786522 MFQ786522 LVU786522 LLY786522 LCC786522 KSG786522 KIK786522 JYO786522 JOS786522 JEW786522 IVA786522 ILE786522 IBI786522 HRM786522 HHQ786522 GXU786522 GNY786522 GEC786522 FUG786522 FKK786522 FAO786522 EQS786522 EGW786522 DXA786522 DNE786522 DDI786522 CTM786522 CJQ786522 BZU786522 BPY786522 BGC786522 AWG786522 AMK786522 ACO786522 SS786522 IW786522 A786522 WVI720986 WLM720986 WBQ720986 VRU720986 VHY720986 UYC720986 UOG720986 UEK720986 TUO720986 TKS720986 TAW720986 SRA720986 SHE720986 RXI720986 RNM720986 RDQ720986 QTU720986 QJY720986 QAC720986 PQG720986 PGK720986 OWO720986 OMS720986 OCW720986 NTA720986 NJE720986 MZI720986 MPM720986 MFQ720986 LVU720986 LLY720986 LCC720986 KSG720986 KIK720986 JYO720986 JOS720986 JEW720986 IVA720986 ILE720986 IBI720986 HRM720986 HHQ720986 GXU720986 GNY720986 GEC720986 FUG720986 FKK720986 FAO720986 EQS720986 EGW720986 DXA720986 DNE720986 DDI720986 CTM720986 CJQ720986 BZU720986 BPY720986 BGC720986 AWG720986 AMK720986 ACO720986 SS720986 IW720986 A720986 WVI655450 WLM655450 WBQ655450 VRU655450 VHY655450 UYC655450 UOG655450 UEK655450 TUO655450 TKS655450 TAW655450 SRA655450 SHE655450 RXI655450 RNM655450 RDQ655450 QTU655450 QJY655450 QAC655450 PQG655450 PGK655450 OWO655450 OMS655450 OCW655450 NTA655450 NJE655450 MZI655450 MPM655450 MFQ655450 LVU655450 LLY655450 LCC655450 KSG655450 KIK655450 JYO655450 JOS655450 JEW655450 IVA655450 ILE655450 IBI655450 HRM655450 HHQ655450 GXU655450 GNY655450 GEC655450 FUG655450 FKK655450 FAO655450 EQS655450 EGW655450 DXA655450 DNE655450 DDI655450 CTM655450 CJQ655450 BZU655450 BPY655450 BGC655450 AWG655450 AMK655450 ACO655450 SS655450 IW655450 A655450 WVI589914 WLM589914 WBQ589914 VRU589914 VHY589914 UYC589914 UOG589914 UEK589914 TUO589914 TKS589914 TAW589914 SRA589914 SHE589914 RXI589914 RNM589914 RDQ589914 QTU589914 QJY589914 QAC589914 PQG589914 PGK589914 OWO589914 OMS589914 OCW589914 NTA589914 NJE589914 MZI589914 MPM589914 MFQ589914 LVU589914 LLY589914 LCC589914 KSG589914 KIK589914 JYO589914 JOS589914 JEW589914 IVA589914 ILE589914 IBI589914 HRM589914 HHQ589914 GXU589914 GNY589914 GEC589914 FUG589914 FKK589914 FAO589914 EQS589914 EGW589914 DXA589914 DNE589914 DDI589914 CTM589914 CJQ589914 BZU589914 BPY589914 BGC589914 AWG589914 AMK589914 ACO589914 SS589914 IW589914 A589914 WVI524378 WLM524378 WBQ524378 VRU524378 VHY524378 UYC524378 UOG524378 UEK524378 TUO524378 TKS524378 TAW524378 SRA524378 SHE524378 RXI524378 RNM524378 RDQ524378 QTU524378 QJY524378 QAC524378 PQG524378 PGK524378 OWO524378 OMS524378 OCW524378 NTA524378 NJE524378 MZI524378 MPM524378 MFQ524378 LVU524378 LLY524378 LCC524378 KSG524378 KIK524378 JYO524378 JOS524378 JEW524378 IVA524378 ILE524378 IBI524378 HRM524378 HHQ524378 GXU524378 GNY524378 GEC524378 FUG524378 FKK524378 FAO524378 EQS524378 EGW524378 DXA524378 DNE524378 DDI524378 CTM524378 CJQ524378 BZU524378 BPY524378 BGC524378 AWG524378 AMK524378 ACO524378 SS524378 IW524378 A524378 WVI458842 WLM458842 WBQ458842 VRU458842 VHY458842 UYC458842 UOG458842 UEK458842 TUO458842 TKS458842 TAW458842 SRA458842 SHE458842 RXI458842 RNM458842 RDQ458842 QTU458842 QJY458842 QAC458842 PQG458842 PGK458842 OWO458842 OMS458842 OCW458842 NTA458842 NJE458842 MZI458842 MPM458842 MFQ458842 LVU458842 LLY458842 LCC458842 KSG458842 KIK458842 JYO458842 JOS458842 JEW458842 IVA458842 ILE458842 IBI458842 HRM458842 HHQ458842 GXU458842 GNY458842 GEC458842 FUG458842 FKK458842 FAO458842 EQS458842 EGW458842 DXA458842 DNE458842 DDI458842 CTM458842 CJQ458842 BZU458842 BPY458842 BGC458842 AWG458842 AMK458842 ACO458842 SS458842 IW458842 A458842 WVI393306 WLM393306 WBQ393306 VRU393306 VHY393306 UYC393306 UOG393306 UEK393306 TUO393306 TKS393306 TAW393306 SRA393306 SHE393306 RXI393306 RNM393306 RDQ393306 QTU393306 QJY393306 QAC393306 PQG393306 PGK393306 OWO393306 OMS393306 OCW393306 NTA393306 NJE393306 MZI393306 MPM393306 MFQ393306 LVU393306 LLY393306 LCC393306 KSG393306 KIK393306 JYO393306 JOS393306 JEW393306 IVA393306 ILE393306 IBI393306 HRM393306 HHQ393306 GXU393306 GNY393306 GEC393306 FUG393306 FKK393306 FAO393306 EQS393306 EGW393306 DXA393306 DNE393306 DDI393306 CTM393306 CJQ393306 BZU393306 BPY393306 BGC393306 AWG393306 AMK393306 ACO393306 SS393306 IW393306 A393306 WVI327770 WLM327770 WBQ327770 VRU327770 VHY327770 UYC327770 UOG327770 UEK327770 TUO327770 TKS327770 TAW327770 SRA327770 SHE327770 RXI327770 RNM327770 RDQ327770 QTU327770 QJY327770 QAC327770 PQG327770 PGK327770 OWO327770 OMS327770 OCW327770 NTA327770 NJE327770 MZI327770 MPM327770 MFQ327770 LVU327770 LLY327770 LCC327770 KSG327770 KIK327770 JYO327770 JOS327770 JEW327770 IVA327770 ILE327770 IBI327770 HRM327770 HHQ327770 GXU327770 GNY327770 GEC327770 FUG327770 FKK327770 FAO327770 EQS327770 EGW327770 DXA327770 DNE327770 DDI327770 CTM327770 CJQ327770 BZU327770 BPY327770 BGC327770 AWG327770 AMK327770 ACO327770 SS327770 IW327770 A327770 WVI262234 WLM262234 WBQ262234 VRU262234 VHY262234 UYC262234 UOG262234 UEK262234 TUO262234 TKS262234 TAW262234 SRA262234 SHE262234 RXI262234 RNM262234 RDQ262234 QTU262234 QJY262234 QAC262234 PQG262234 PGK262234 OWO262234 OMS262234 OCW262234 NTA262234 NJE262234 MZI262234 MPM262234 MFQ262234 LVU262234 LLY262234 LCC262234 KSG262234 KIK262234 JYO262234 JOS262234 JEW262234 IVA262234 ILE262234 IBI262234 HRM262234 HHQ262234 GXU262234 GNY262234 GEC262234 FUG262234 FKK262234 FAO262234 EQS262234 EGW262234 DXA262234 DNE262234 DDI262234 CTM262234 CJQ262234 BZU262234 BPY262234 BGC262234 AWG262234 AMK262234 ACO262234 SS262234 IW262234 A262234 WVI196698 WLM196698 WBQ196698 VRU196698 VHY196698 UYC196698 UOG196698 UEK196698 TUO196698 TKS196698 TAW196698 SRA196698 SHE196698 RXI196698 RNM196698 RDQ196698 QTU196698 QJY196698 QAC196698 PQG196698 PGK196698 OWO196698 OMS196698 OCW196698 NTA196698 NJE196698 MZI196698 MPM196698 MFQ196698 LVU196698 LLY196698 LCC196698 KSG196698 KIK196698 JYO196698 JOS196698 JEW196698 IVA196698 ILE196698 IBI196698 HRM196698 HHQ196698 GXU196698 GNY196698 GEC196698 FUG196698 FKK196698 FAO196698 EQS196698 EGW196698 DXA196698 DNE196698 DDI196698 CTM196698 CJQ196698 BZU196698 BPY196698 BGC196698 AWG196698 AMK196698 ACO196698 SS196698 IW196698 A196698 WVI131162 WLM131162 WBQ131162 VRU131162 VHY131162 UYC131162 UOG131162 UEK131162 TUO131162 TKS131162 TAW131162 SRA131162 SHE131162 RXI131162 RNM131162 RDQ131162 QTU131162 QJY131162 QAC131162 PQG131162 PGK131162 OWO131162 OMS131162 OCW131162 NTA131162 NJE131162 MZI131162 MPM131162 MFQ131162 LVU131162 LLY131162 LCC131162 KSG131162 KIK131162 JYO131162 JOS131162 JEW131162 IVA131162 ILE131162 IBI131162 HRM131162 HHQ131162 GXU131162 GNY131162 GEC131162 FUG131162 FKK131162 FAO131162 EQS131162 EGW131162 DXA131162 DNE131162 DDI131162 CTM131162 CJQ131162 BZU131162 BPY131162 BGC131162 AWG131162 AMK131162 ACO131162 SS131162 IW131162 A131162 WVI65626 WLM65626 WBQ65626 VRU65626 VHY65626 UYC65626 UOG65626 UEK65626 TUO65626 TKS65626 TAW65626 SRA65626 SHE65626 RXI65626 RNM65626 RDQ65626 QTU65626 QJY65626 QAC65626 PQG65626 PGK65626 OWO65626 OMS65626 OCW65626 NTA65626 NJE65626 MZI65626 MPM65626 MFQ65626 LVU65626 LLY65626 LCC65626 KSG65626 KIK65626 JYO65626 JOS65626 JEW65626 IVA65626 ILE65626 IBI65626 HRM65626 HHQ65626 GXU65626 GNY65626 GEC65626 FUG65626 FKK65626 FAO65626 EQS65626 EGW65626 DXA65626 DNE65626 DDI65626 CTM65626 CJQ65626 BZU65626 BPY65626 BGC65626 AWG65626 AMK65626 ACO65626 SS65626 IW65626 A65626 WVI90 WLM90 WBQ90 VRU90 VHY90 UYC90 UOG90 UEK90 TUO90 TKS90 TAW90 SRA90 SHE90 RXI90 RNM90 RDQ90 QTU90 QJY90 QAC90 PQG90 PGK90 OWO90 OMS90 OCW90 NTA90 NJE90 MZI90 MPM90 MFQ90 LVU90 LLY90 LCC90 KSG90 KIK90 JYO90 JOS90 JEW90 IVA90 ILE90 IBI90 HRM90 HHQ90 GXU90 GNY90 GEC90 FUG90 FKK90 FAO90 EQS90 EGW90 DXA90 DNE90 DDI90 CTM90 CJQ90 BZU90 BPY90 BGC90 AWG90 AMK90 ACO90 SS90 IW90"/>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3:O54"/>
  <sheetViews>
    <sheetView showGridLines="0" zoomScale="80" zoomScaleNormal="80" workbookViewId="0">
      <selection activeCell="P32" sqref="P32"/>
    </sheetView>
  </sheetViews>
  <sheetFormatPr baseColWidth="10" defaultRowHeight="12.75"/>
  <cols>
    <col min="1" max="1" width="33.85546875" customWidth="1"/>
  </cols>
  <sheetData>
    <row r="3" spans="1:15" ht="13.5" thickBot="1"/>
    <row r="4" spans="1:15" ht="13.5" thickBot="1">
      <c r="A4" s="314" t="s">
        <v>293</v>
      </c>
      <c r="B4" s="249"/>
      <c r="C4" s="249" t="str">
        <f>+[3]Finan!C2</f>
        <v>ENERO</v>
      </c>
      <c r="D4" s="249" t="str">
        <f>+[3]Finan!D2</f>
        <v>FEBR</v>
      </c>
      <c r="E4" s="249" t="str">
        <f>+[3]Finan!E2</f>
        <v>MAR</v>
      </c>
      <c r="F4" s="249" t="str">
        <f>+[3]Finan!F2</f>
        <v>ABRIL</v>
      </c>
      <c r="G4" s="249" t="str">
        <f>+[3]Finan!G2</f>
        <v>MAYO</v>
      </c>
      <c r="H4" s="249" t="str">
        <f>+[3]Finan!H2</f>
        <v>JUNIO</v>
      </c>
      <c r="I4" s="249" t="str">
        <f>+[3]Finan!I2</f>
        <v>JULIO</v>
      </c>
      <c r="J4" s="249" t="str">
        <f>+[3]Finan!J2</f>
        <v>AGOS</v>
      </c>
      <c r="K4" s="249" t="str">
        <f>+[3]Finan!K2</f>
        <v>SEPT</v>
      </c>
      <c r="L4" s="249" t="str">
        <f>+[3]Finan!L2</f>
        <v>OCT</v>
      </c>
      <c r="M4" s="249" t="str">
        <f>+[3]Finan!M2</f>
        <v>NOV</v>
      </c>
      <c r="N4" s="249" t="str">
        <f>+[3]Finan!N2</f>
        <v>DIC</v>
      </c>
    </row>
    <row r="5" spans="1:15">
      <c r="A5" s="299" t="s">
        <v>294</v>
      </c>
      <c r="B5" s="300"/>
      <c r="C5" s="301">
        <v>1</v>
      </c>
      <c r="D5" s="302">
        <v>2</v>
      </c>
      <c r="E5" s="302">
        <v>3</v>
      </c>
      <c r="F5" s="302">
        <v>4</v>
      </c>
      <c r="G5" s="302">
        <v>5</v>
      </c>
      <c r="H5" s="302">
        <v>6</v>
      </c>
      <c r="I5" s="302">
        <v>7</v>
      </c>
      <c r="J5" s="302">
        <v>8</v>
      </c>
      <c r="K5" s="302">
        <v>9</v>
      </c>
      <c r="L5" s="302">
        <v>10</v>
      </c>
      <c r="M5" s="302">
        <v>11</v>
      </c>
      <c r="N5" s="303">
        <v>12</v>
      </c>
    </row>
    <row r="6" spans="1:15">
      <c r="A6" s="5"/>
      <c r="B6" s="248"/>
      <c r="C6" s="311">
        <f>IF($B$10=C5,1,"")</f>
        <v>1</v>
      </c>
      <c r="D6" s="309">
        <f t="shared" ref="D6:N6" si="0">IF($B$10=D5,1,IF(C6="","",C6+1))</f>
        <v>2</v>
      </c>
      <c r="E6" s="309">
        <f t="shared" si="0"/>
        <v>3</v>
      </c>
      <c r="F6" s="309">
        <f t="shared" si="0"/>
        <v>4</v>
      </c>
      <c r="G6" s="309">
        <f t="shared" si="0"/>
        <v>5</v>
      </c>
      <c r="H6" s="309">
        <f t="shared" si="0"/>
        <v>6</v>
      </c>
      <c r="I6" s="309">
        <f t="shared" si="0"/>
        <v>7</v>
      </c>
      <c r="J6" s="309">
        <f t="shared" si="0"/>
        <v>8</v>
      </c>
      <c r="K6" s="309">
        <f t="shared" si="0"/>
        <v>9</v>
      </c>
      <c r="L6" s="309">
        <f t="shared" si="0"/>
        <v>10</v>
      </c>
      <c r="M6" s="309">
        <f t="shared" si="0"/>
        <v>11</v>
      </c>
      <c r="N6" s="315">
        <f t="shared" si="0"/>
        <v>12</v>
      </c>
    </row>
    <row r="7" spans="1:15">
      <c r="A7" s="5" t="s">
        <v>300</v>
      </c>
      <c r="B7" s="304">
        <v>1200</v>
      </c>
      <c r="C7" s="248">
        <f t="shared" ref="C7:N7" si="1">+B7-C15</f>
        <v>1177.930216160275</v>
      </c>
      <c r="D7" s="249">
        <f t="shared" si="1"/>
        <v>1155.7454855297181</v>
      </c>
      <c r="E7" s="249">
        <f t="shared" si="1"/>
        <v>1133.4452094271271</v>
      </c>
      <c r="F7" s="249">
        <f t="shared" si="1"/>
        <v>1111.0287860531685</v>
      </c>
      <c r="G7" s="249">
        <f t="shared" si="1"/>
        <v>1088.495610474137</v>
      </c>
      <c r="H7" s="249">
        <f t="shared" si="1"/>
        <v>1065.8450746056315</v>
      </c>
      <c r="I7" s="249">
        <f t="shared" si="1"/>
        <v>1043.0765671961442</v>
      </c>
      <c r="J7" s="249">
        <f t="shared" si="1"/>
        <v>1020.1894738105658</v>
      </c>
      <c r="K7" s="249">
        <f t="shared" si="1"/>
        <v>997.18317681360418</v>
      </c>
      <c r="L7" s="249">
        <f t="shared" si="1"/>
        <v>974.05705535311677</v>
      </c>
      <c r="M7" s="249">
        <f t="shared" si="1"/>
        <v>950.81048534335594</v>
      </c>
      <c r="N7" s="250">
        <f t="shared" si="1"/>
        <v>927.44283944812764</v>
      </c>
      <c r="O7" s="5"/>
    </row>
    <row r="8" spans="1:15">
      <c r="A8" s="209" t="s">
        <v>301</v>
      </c>
      <c r="B8" s="256">
        <v>4</v>
      </c>
      <c r="C8" s="248"/>
      <c r="D8" s="249"/>
      <c r="E8" s="249"/>
      <c r="F8" s="249"/>
      <c r="G8" s="249"/>
      <c r="H8" s="249"/>
      <c r="I8" s="249"/>
      <c r="J8" s="249"/>
      <c r="K8" s="249"/>
      <c r="L8" s="249"/>
      <c r="M8" s="249"/>
      <c r="N8" s="250"/>
      <c r="O8" s="5"/>
    </row>
    <row r="9" spans="1:15">
      <c r="A9" s="209" t="s">
        <v>302</v>
      </c>
      <c r="B9" s="256">
        <v>12</v>
      </c>
      <c r="C9" s="311" t="s">
        <v>303</v>
      </c>
      <c r="D9" s="249"/>
      <c r="E9" s="249"/>
      <c r="F9" s="249"/>
      <c r="G9" s="249"/>
      <c r="H9" s="249"/>
      <c r="I9" s="249"/>
      <c r="J9" s="249"/>
      <c r="K9" s="249"/>
      <c r="L9" s="249"/>
      <c r="M9" s="249"/>
      <c r="N9" s="250"/>
      <c r="O9" s="5"/>
    </row>
    <row r="10" spans="1:15">
      <c r="A10" s="209" t="s">
        <v>304</v>
      </c>
      <c r="B10" s="256">
        <v>1</v>
      </c>
      <c r="C10" s="311"/>
      <c r="D10" s="309"/>
      <c r="E10" s="309"/>
      <c r="F10" s="309"/>
      <c r="G10" s="309"/>
      <c r="H10" s="309"/>
      <c r="I10" s="309"/>
      <c r="J10" s="309"/>
      <c r="K10" s="309"/>
      <c r="L10" s="309"/>
      <c r="M10" s="309"/>
      <c r="N10" s="315"/>
      <c r="O10" s="5"/>
    </row>
    <row r="11" spans="1:15">
      <c r="A11" s="209" t="s">
        <v>305</v>
      </c>
      <c r="B11" s="256" t="s">
        <v>306</v>
      </c>
      <c r="C11" s="311">
        <f t="shared" ref="C11:N11" si="2">IF(C6=1,1,0)+IF(C6=3,IF($B9=6,1,0))+IF(C6=4,IF($B9=4,1,0))+IF(C6=5,IF($B9=3,1,IF($B9=6,1)))+IF(C6=7,IF($B9=2,1,IF($B9=4,1,IF($B9=6,1,0))))+IF(C6=9,IF($B9=3,1,IF($B9=6,1)))+IF(C6=10,IF($B9=4,1,0))+IF(C6=11,IF($B9=6,1,0))+IF(C6="",0,IF($B9=12,IF(C6&gt;1,1,0),0))</f>
        <v>1</v>
      </c>
      <c r="D11" s="309">
        <f t="shared" si="2"/>
        <v>1</v>
      </c>
      <c r="E11" s="309">
        <f t="shared" si="2"/>
        <v>1</v>
      </c>
      <c r="F11" s="309">
        <f t="shared" si="2"/>
        <v>1</v>
      </c>
      <c r="G11" s="309">
        <f t="shared" si="2"/>
        <v>1</v>
      </c>
      <c r="H11" s="309">
        <f t="shared" si="2"/>
        <v>1</v>
      </c>
      <c r="I11" s="309">
        <f t="shared" si="2"/>
        <v>1</v>
      </c>
      <c r="J11" s="309">
        <f t="shared" si="2"/>
        <v>1</v>
      </c>
      <c r="K11" s="309">
        <f t="shared" si="2"/>
        <v>1</v>
      </c>
      <c r="L11" s="309">
        <f t="shared" si="2"/>
        <v>1</v>
      </c>
      <c r="M11" s="309">
        <f t="shared" si="2"/>
        <v>1</v>
      </c>
      <c r="N11" s="315">
        <f t="shared" si="2"/>
        <v>1</v>
      </c>
      <c r="O11" s="5"/>
    </row>
    <row r="12" spans="1:15">
      <c r="A12" s="209" t="s">
        <v>307</v>
      </c>
      <c r="B12" s="316">
        <v>6.25E-2</v>
      </c>
      <c r="C12" s="248"/>
      <c r="D12" s="249"/>
      <c r="E12" s="249"/>
      <c r="F12" s="249"/>
      <c r="G12" s="249"/>
      <c r="H12" s="249"/>
      <c r="I12" s="249"/>
      <c r="J12" s="249"/>
      <c r="K12" s="249"/>
      <c r="L12" s="249"/>
      <c r="M12" s="249"/>
      <c r="N12" s="250"/>
      <c r="O12" s="5"/>
    </row>
    <row r="13" spans="1:15">
      <c r="A13" s="209" t="s">
        <v>295</v>
      </c>
      <c r="B13" s="304">
        <f>SUM(C13:N13)</f>
        <v>339.83740607669984</v>
      </c>
      <c r="C13" s="248">
        <f t="shared" ref="C13:N13" si="3">IF(C11=1,IF($B11="lineal",C14+C15,ABS(PMT($B12/$B9,$B8*$B9,$B7))),0)</f>
        <v>28.319783839724987</v>
      </c>
      <c r="D13" s="249">
        <f t="shared" si="3"/>
        <v>28.319783839724987</v>
      </c>
      <c r="E13" s="249">
        <f t="shared" si="3"/>
        <v>28.319783839724987</v>
      </c>
      <c r="F13" s="249">
        <f t="shared" si="3"/>
        <v>28.319783839724987</v>
      </c>
      <c r="G13" s="249">
        <f t="shared" si="3"/>
        <v>28.319783839724987</v>
      </c>
      <c r="H13" s="249">
        <f t="shared" si="3"/>
        <v>28.319783839724987</v>
      </c>
      <c r="I13" s="249">
        <f t="shared" si="3"/>
        <v>28.319783839724987</v>
      </c>
      <c r="J13" s="249">
        <f t="shared" si="3"/>
        <v>28.319783839724987</v>
      </c>
      <c r="K13" s="249">
        <f t="shared" si="3"/>
        <v>28.319783839724987</v>
      </c>
      <c r="L13" s="249">
        <f t="shared" si="3"/>
        <v>28.319783839724987</v>
      </c>
      <c r="M13" s="249">
        <f t="shared" si="3"/>
        <v>28.319783839724987</v>
      </c>
      <c r="N13" s="250">
        <f t="shared" si="3"/>
        <v>28.319783839724987</v>
      </c>
      <c r="O13" s="5"/>
    </row>
    <row r="14" spans="1:15">
      <c r="A14" s="209" t="s">
        <v>296</v>
      </c>
      <c r="B14" s="304">
        <f>SUM(C14:N14)</f>
        <v>67.280245524827308</v>
      </c>
      <c r="C14" s="248">
        <f t="shared" ref="C14:N14" si="4">IF(C11=1,+B7*$B12/$B9,0)</f>
        <v>6.25</v>
      </c>
      <c r="D14" s="249">
        <f t="shared" si="4"/>
        <v>6.1350532091680989</v>
      </c>
      <c r="E14" s="249">
        <f t="shared" si="4"/>
        <v>6.0195077371339485</v>
      </c>
      <c r="F14" s="249">
        <f t="shared" si="4"/>
        <v>5.903360465766287</v>
      </c>
      <c r="G14" s="249">
        <f t="shared" si="4"/>
        <v>5.786608260693586</v>
      </c>
      <c r="H14" s="249">
        <f t="shared" si="4"/>
        <v>5.6692479712194634</v>
      </c>
      <c r="I14" s="249">
        <f t="shared" si="4"/>
        <v>5.5512764302376638</v>
      </c>
      <c r="J14" s="249">
        <f t="shared" si="4"/>
        <v>5.4326904541465844</v>
      </c>
      <c r="K14" s="249">
        <f t="shared" si="4"/>
        <v>5.3134868427633632</v>
      </c>
      <c r="L14" s="249">
        <f t="shared" si="4"/>
        <v>5.1936623792375221</v>
      </c>
      <c r="M14" s="249">
        <f t="shared" si="4"/>
        <v>5.0732138299641498</v>
      </c>
      <c r="N14" s="250">
        <f t="shared" si="4"/>
        <v>4.9521379444966458</v>
      </c>
      <c r="O14" s="5"/>
    </row>
    <row r="15" spans="1:15">
      <c r="A15" s="305" t="s">
        <v>297</v>
      </c>
      <c r="B15" s="306">
        <f>SUM(C15:N15)</f>
        <v>272.55716055187253</v>
      </c>
      <c r="C15" s="317">
        <f t="shared" ref="C15:N15" si="5">IF(C11=1,IF($B11="lineal",+$B7/($B8*$B9),+C13-C14),0)</f>
        <v>22.069783839724987</v>
      </c>
      <c r="D15" s="318">
        <f t="shared" si="5"/>
        <v>22.184730630556889</v>
      </c>
      <c r="E15" s="318">
        <f t="shared" si="5"/>
        <v>22.300276102591038</v>
      </c>
      <c r="F15" s="318">
        <f t="shared" si="5"/>
        <v>22.4164233739587</v>
      </c>
      <c r="G15" s="318">
        <f t="shared" si="5"/>
        <v>22.533175579031401</v>
      </c>
      <c r="H15" s="318">
        <f t="shared" si="5"/>
        <v>22.650535868505525</v>
      </c>
      <c r="I15" s="318">
        <f t="shared" si="5"/>
        <v>22.768507409487324</v>
      </c>
      <c r="J15" s="318">
        <f t="shared" si="5"/>
        <v>22.887093385578403</v>
      </c>
      <c r="K15" s="318">
        <f t="shared" si="5"/>
        <v>23.006296996961623</v>
      </c>
      <c r="L15" s="318">
        <f t="shared" si="5"/>
        <v>23.126121460487465</v>
      </c>
      <c r="M15" s="318">
        <f t="shared" si="5"/>
        <v>23.246570009760838</v>
      </c>
      <c r="N15" s="319">
        <f t="shared" si="5"/>
        <v>23.367645895228343</v>
      </c>
      <c r="O15" s="5"/>
    </row>
    <row r="16" spans="1:15">
      <c r="A16" s="209"/>
      <c r="B16" s="248"/>
      <c r="C16" s="311">
        <v>13</v>
      </c>
      <c r="D16" s="309">
        <v>14</v>
      </c>
      <c r="E16" s="309">
        <v>15</v>
      </c>
      <c r="F16" s="309">
        <v>16</v>
      </c>
      <c r="G16" s="309">
        <v>17</v>
      </c>
      <c r="H16" s="309">
        <v>18</v>
      </c>
      <c r="I16" s="309">
        <v>19</v>
      </c>
      <c r="J16" s="309">
        <v>20</v>
      </c>
      <c r="K16" s="309">
        <v>21</v>
      </c>
      <c r="L16" s="309">
        <v>22</v>
      </c>
      <c r="M16" s="309">
        <v>23</v>
      </c>
      <c r="N16" s="315">
        <v>24</v>
      </c>
      <c r="O16" s="5"/>
    </row>
    <row r="17" spans="1:15">
      <c r="A17" s="209"/>
      <c r="B17" s="248"/>
      <c r="C17" s="311">
        <f>IF($B$10=C16,1,IF(N6="","",IF(N6=12,1,N6+1)))</f>
        <v>1</v>
      </c>
      <c r="D17" s="309">
        <f t="shared" ref="D17:N17" si="6">IF($B$10=D16,1,IF(C17="","",IF(C17=12,1,C17+1)))</f>
        <v>2</v>
      </c>
      <c r="E17" s="309">
        <f t="shared" si="6"/>
        <v>3</v>
      </c>
      <c r="F17" s="309">
        <f t="shared" si="6"/>
        <v>4</v>
      </c>
      <c r="G17" s="309">
        <f t="shared" si="6"/>
        <v>5</v>
      </c>
      <c r="H17" s="309">
        <f t="shared" si="6"/>
        <v>6</v>
      </c>
      <c r="I17" s="309">
        <f t="shared" si="6"/>
        <v>7</v>
      </c>
      <c r="J17" s="309">
        <f t="shared" si="6"/>
        <v>8</v>
      </c>
      <c r="K17" s="309">
        <f t="shared" si="6"/>
        <v>9</v>
      </c>
      <c r="L17" s="309">
        <f t="shared" si="6"/>
        <v>10</v>
      </c>
      <c r="M17" s="309">
        <f t="shared" si="6"/>
        <v>11</v>
      </c>
      <c r="N17" s="315">
        <f t="shared" si="6"/>
        <v>12</v>
      </c>
      <c r="O17" s="5"/>
    </row>
    <row r="18" spans="1:15">
      <c r="A18" s="209" t="s">
        <v>308</v>
      </c>
      <c r="B18" s="248"/>
      <c r="C18" s="248">
        <f>+N7-C22</f>
        <v>903.95348706386164</v>
      </c>
      <c r="D18" s="249">
        <f t="shared" ref="D18:N18" si="7">+C18-D22</f>
        <v>880.34179430259428</v>
      </c>
      <c r="E18" s="249">
        <f t="shared" si="7"/>
        <v>856.60712397486202</v>
      </c>
      <c r="F18" s="249">
        <f t="shared" si="7"/>
        <v>832.7488355725061</v>
      </c>
      <c r="G18" s="249">
        <f t="shared" si="7"/>
        <v>808.7662852513879</v>
      </c>
      <c r="H18" s="249">
        <f t="shared" si="7"/>
        <v>784.65882581401388</v>
      </c>
      <c r="I18" s="249">
        <f t="shared" si="7"/>
        <v>760.42580669207018</v>
      </c>
      <c r="J18" s="249">
        <f t="shared" si="7"/>
        <v>736.06657392886643</v>
      </c>
      <c r="K18" s="249">
        <f t="shared" si="7"/>
        <v>711.58047016168757</v>
      </c>
      <c r="L18" s="249">
        <f t="shared" si="7"/>
        <v>686.96683460405472</v>
      </c>
      <c r="M18" s="249">
        <f t="shared" si="7"/>
        <v>662.22500302789251</v>
      </c>
      <c r="N18" s="250">
        <f t="shared" si="7"/>
        <v>637.3543077456045</v>
      </c>
      <c r="O18" s="5"/>
    </row>
    <row r="19" spans="1:15">
      <c r="A19" s="209" t="s">
        <v>305</v>
      </c>
      <c r="B19" s="248"/>
      <c r="C19" s="311">
        <f t="shared" ref="C19:N19" si="8">IF(C17=1,1,0)+IF(C17=3,IF($B9=6,1,0))+IF(C17=4,IF($B9=4,1,0))+IF(C17=5,IF($B9=3,1,IF($B9=6,1)))+IF(C17=7,IF($B9=2,1,IF($B9=4,1,IF($B9=6,1,0))))+IF(C17=9,IF($B9=3,1,IF($B9=6,1)))+IF(C17=10,IF($B9=4,1,0))+IF(C17=11,IF($B9=6,1,0))+IF(C17="",0,IF($B9=12,IF(C17&gt;1,1,0),0))</f>
        <v>1</v>
      </c>
      <c r="D19" s="309">
        <f t="shared" si="8"/>
        <v>1</v>
      </c>
      <c r="E19" s="309">
        <f t="shared" si="8"/>
        <v>1</v>
      </c>
      <c r="F19" s="309">
        <f t="shared" si="8"/>
        <v>1</v>
      </c>
      <c r="G19" s="309">
        <f t="shared" si="8"/>
        <v>1</v>
      </c>
      <c r="H19" s="309">
        <f t="shared" si="8"/>
        <v>1</v>
      </c>
      <c r="I19" s="309">
        <f t="shared" si="8"/>
        <v>1</v>
      </c>
      <c r="J19" s="309">
        <f t="shared" si="8"/>
        <v>1</v>
      </c>
      <c r="K19" s="309">
        <f t="shared" si="8"/>
        <v>1</v>
      </c>
      <c r="L19" s="309">
        <f t="shared" si="8"/>
        <v>1</v>
      </c>
      <c r="M19" s="309">
        <f t="shared" si="8"/>
        <v>1</v>
      </c>
      <c r="N19" s="315">
        <f t="shared" si="8"/>
        <v>1</v>
      </c>
      <c r="O19" s="5"/>
    </row>
    <row r="20" spans="1:15">
      <c r="A20" s="209" t="s">
        <v>295</v>
      </c>
      <c r="B20" s="304">
        <f>SUM(C20:N20)</f>
        <v>339.83740607669984</v>
      </c>
      <c r="C20" s="248">
        <f t="shared" ref="C20:N20" si="9">IF(C19=1,IF($B11="lineal",C21+C22,ABS(PMT($B12/$B9,$B8*$B9,$B7))),0)</f>
        <v>28.319783839724987</v>
      </c>
      <c r="D20" s="249">
        <f t="shared" si="9"/>
        <v>28.319783839724987</v>
      </c>
      <c r="E20" s="249">
        <f t="shared" si="9"/>
        <v>28.319783839724987</v>
      </c>
      <c r="F20" s="249">
        <f t="shared" si="9"/>
        <v>28.319783839724987</v>
      </c>
      <c r="G20" s="249">
        <f t="shared" si="9"/>
        <v>28.319783839724987</v>
      </c>
      <c r="H20" s="249">
        <f t="shared" si="9"/>
        <v>28.319783839724987</v>
      </c>
      <c r="I20" s="249">
        <f t="shared" si="9"/>
        <v>28.319783839724987</v>
      </c>
      <c r="J20" s="249">
        <f t="shared" si="9"/>
        <v>28.319783839724987</v>
      </c>
      <c r="K20" s="249">
        <f t="shared" si="9"/>
        <v>28.319783839724987</v>
      </c>
      <c r="L20" s="249">
        <f t="shared" si="9"/>
        <v>28.319783839724987</v>
      </c>
      <c r="M20" s="249">
        <f t="shared" si="9"/>
        <v>28.319783839724987</v>
      </c>
      <c r="N20" s="250">
        <f t="shared" si="9"/>
        <v>28.319783839724987</v>
      </c>
      <c r="O20" s="5"/>
    </row>
    <row r="21" spans="1:15">
      <c r="A21" s="209" t="s">
        <v>296</v>
      </c>
      <c r="B21" s="304">
        <f>SUM(C21:N21)</f>
        <v>49.748874374176687</v>
      </c>
      <c r="C21" s="248">
        <f>IF(C19=1,+N7*$B12/$B9,0)</f>
        <v>4.8304314554589984</v>
      </c>
      <c r="D21" s="249">
        <f t="shared" ref="D21:N21" si="10">IF(D19=1,+C18*$B12/$B9,0)</f>
        <v>4.7080910784576124</v>
      </c>
      <c r="E21" s="249">
        <f t="shared" si="10"/>
        <v>4.5851135119926782</v>
      </c>
      <c r="F21" s="249">
        <f t="shared" si="10"/>
        <v>4.4614954373690727</v>
      </c>
      <c r="G21" s="249">
        <f t="shared" si="10"/>
        <v>4.3372335186068023</v>
      </c>
      <c r="H21" s="249">
        <f t="shared" si="10"/>
        <v>4.2123244023509789</v>
      </c>
      <c r="I21" s="249">
        <f t="shared" si="10"/>
        <v>4.086764717781322</v>
      </c>
      <c r="J21" s="249">
        <f t="shared" si="10"/>
        <v>3.9605510765211989</v>
      </c>
      <c r="K21" s="249">
        <f t="shared" si="10"/>
        <v>3.8336800725461795</v>
      </c>
      <c r="L21" s="249">
        <f t="shared" si="10"/>
        <v>3.7061482820921228</v>
      </c>
      <c r="M21" s="249">
        <f t="shared" si="10"/>
        <v>3.5779522635627852</v>
      </c>
      <c r="N21" s="250">
        <f t="shared" si="10"/>
        <v>3.4490885574369403</v>
      </c>
      <c r="O21" s="5"/>
    </row>
    <row r="22" spans="1:15" ht="13.5" thickBot="1">
      <c r="A22" s="307" t="s">
        <v>297</v>
      </c>
      <c r="B22" s="297">
        <f>SUM(C22:N22)</f>
        <v>290.0885317025232</v>
      </c>
      <c r="C22" s="308">
        <f t="shared" ref="C22:N22" si="11">IF(C19=1,IF($B11="lineal",+$B7/($B8*$B9),+C20-C21),0)</f>
        <v>23.489352384265988</v>
      </c>
      <c r="D22" s="320">
        <f t="shared" si="11"/>
        <v>23.611692761267374</v>
      </c>
      <c r="E22" s="320">
        <f t="shared" si="11"/>
        <v>23.73467032773231</v>
      </c>
      <c r="F22" s="320">
        <f t="shared" si="11"/>
        <v>23.858288402355914</v>
      </c>
      <c r="G22" s="320">
        <f t="shared" si="11"/>
        <v>23.982550321118186</v>
      </c>
      <c r="H22" s="320">
        <f t="shared" si="11"/>
        <v>24.107459437374008</v>
      </c>
      <c r="I22" s="320">
        <f t="shared" si="11"/>
        <v>24.233019121943666</v>
      </c>
      <c r="J22" s="320">
        <f t="shared" si="11"/>
        <v>24.359232763203789</v>
      </c>
      <c r="K22" s="320">
        <f t="shared" si="11"/>
        <v>24.486103767178808</v>
      </c>
      <c r="L22" s="320">
        <f t="shared" si="11"/>
        <v>24.613635557632865</v>
      </c>
      <c r="M22" s="320">
        <f t="shared" si="11"/>
        <v>24.741831576162202</v>
      </c>
      <c r="N22" s="321">
        <f t="shared" si="11"/>
        <v>24.870695282288047</v>
      </c>
      <c r="O22" s="5"/>
    </row>
    <row r="23" spans="1:15" ht="13.5" thickBot="1">
      <c r="A23" s="5"/>
      <c r="B23" s="249"/>
      <c r="C23" s="249"/>
      <c r="D23" s="249"/>
      <c r="E23" s="249"/>
      <c r="F23" s="249"/>
      <c r="G23" s="249"/>
      <c r="H23" s="249"/>
      <c r="I23" s="249"/>
      <c r="J23" s="249"/>
      <c r="K23" s="249"/>
      <c r="L23" s="249"/>
      <c r="M23" s="249"/>
      <c r="N23" s="249"/>
      <c r="O23" s="5"/>
    </row>
    <row r="24" spans="1:15">
      <c r="A24" s="299" t="s">
        <v>298</v>
      </c>
      <c r="B24" s="310"/>
      <c r="C24" s="301">
        <v>1</v>
      </c>
      <c r="D24" s="302">
        <v>2</v>
      </c>
      <c r="E24" s="302">
        <v>3</v>
      </c>
      <c r="F24" s="302">
        <v>4</v>
      </c>
      <c r="G24" s="302">
        <v>5</v>
      </c>
      <c r="H24" s="302">
        <v>6</v>
      </c>
      <c r="I24" s="302">
        <v>7</v>
      </c>
      <c r="J24" s="302">
        <v>8</v>
      </c>
      <c r="K24" s="302">
        <v>9</v>
      </c>
      <c r="L24" s="302">
        <v>10</v>
      </c>
      <c r="M24" s="302">
        <v>11</v>
      </c>
      <c r="N24" s="303">
        <v>12</v>
      </c>
      <c r="O24" s="5"/>
    </row>
    <row r="25" spans="1:15">
      <c r="A25" s="5"/>
      <c r="B25" s="248"/>
      <c r="C25" s="311" t="str">
        <f>IF($B$29=C24,1,"")</f>
        <v/>
      </c>
      <c r="D25" s="309" t="str">
        <f t="shared" ref="D25:N25" si="12">IF($B$29=D24,1,IF(C25="","",C25+1))</f>
        <v/>
      </c>
      <c r="E25" s="309" t="str">
        <f t="shared" si="12"/>
        <v/>
      </c>
      <c r="F25" s="309">
        <f t="shared" si="12"/>
        <v>1</v>
      </c>
      <c r="G25" s="309">
        <f t="shared" si="12"/>
        <v>2</v>
      </c>
      <c r="H25" s="309">
        <f t="shared" si="12"/>
        <v>3</v>
      </c>
      <c r="I25" s="309">
        <f t="shared" si="12"/>
        <v>4</v>
      </c>
      <c r="J25" s="309">
        <f t="shared" si="12"/>
        <v>5</v>
      </c>
      <c r="K25" s="309">
        <f t="shared" si="12"/>
        <v>6</v>
      </c>
      <c r="L25" s="309">
        <f t="shared" si="12"/>
        <v>7</v>
      </c>
      <c r="M25" s="309">
        <f t="shared" si="12"/>
        <v>8</v>
      </c>
      <c r="N25" s="315">
        <f t="shared" si="12"/>
        <v>9</v>
      </c>
      <c r="O25" s="5"/>
    </row>
    <row r="26" spans="1:15">
      <c r="A26" s="5" t="str">
        <f t="shared" ref="A26:A34" si="13">+A7</f>
        <v xml:space="preserve">CAPITAL VIVO </v>
      </c>
      <c r="B26" s="304"/>
      <c r="C26" s="248">
        <f t="shared" ref="C26:N26" si="14">+B26-C34</f>
        <v>0</v>
      </c>
      <c r="D26" s="249">
        <f t="shared" si="14"/>
        <v>0</v>
      </c>
      <c r="E26" s="249">
        <f t="shared" si="14"/>
        <v>0</v>
      </c>
      <c r="F26" s="249">
        <f t="shared" si="14"/>
        <v>0</v>
      </c>
      <c r="G26" s="249">
        <f t="shared" si="14"/>
        <v>0</v>
      </c>
      <c r="H26" s="249">
        <f t="shared" si="14"/>
        <v>0</v>
      </c>
      <c r="I26" s="249">
        <f t="shared" si="14"/>
        <v>0</v>
      </c>
      <c r="J26" s="249">
        <f t="shared" si="14"/>
        <v>0</v>
      </c>
      <c r="K26" s="249">
        <f t="shared" si="14"/>
        <v>0</v>
      </c>
      <c r="L26" s="249">
        <f t="shared" si="14"/>
        <v>0</v>
      </c>
      <c r="M26" s="249">
        <f t="shared" si="14"/>
        <v>0</v>
      </c>
      <c r="N26" s="250">
        <f t="shared" si="14"/>
        <v>0</v>
      </c>
      <c r="O26" s="5"/>
    </row>
    <row r="27" spans="1:15">
      <c r="A27" s="5" t="str">
        <f t="shared" si="13"/>
        <v>NUMERO AÑOS PENDIENTES AMORTIZACIÓN</v>
      </c>
      <c r="B27" s="256">
        <v>10</v>
      </c>
      <c r="C27" s="248"/>
      <c r="D27" s="249"/>
      <c r="E27" s="249"/>
      <c r="F27" s="249"/>
      <c r="G27" s="249"/>
      <c r="H27" s="249"/>
      <c r="I27" s="249"/>
      <c r="J27" s="249"/>
      <c r="K27" s="249"/>
      <c r="L27" s="249"/>
      <c r="M27" s="249"/>
      <c r="N27" s="250"/>
      <c r="O27" s="5"/>
    </row>
    <row r="28" spans="1:15">
      <c r="A28" s="5" t="str">
        <f t="shared" si="13"/>
        <v>PAGOS AL AÑO</v>
      </c>
      <c r="B28" s="256">
        <v>3</v>
      </c>
      <c r="C28" s="311"/>
      <c r="D28" s="249"/>
      <c r="E28" s="249"/>
      <c r="F28" s="249"/>
      <c r="G28" s="249"/>
      <c r="H28" s="249"/>
      <c r="I28" s="249"/>
      <c r="J28" s="249"/>
      <c r="K28" s="249"/>
      <c r="L28" s="249"/>
      <c r="M28" s="249"/>
      <c r="N28" s="250"/>
      <c r="O28" s="5"/>
    </row>
    <row r="29" spans="1:15">
      <c r="A29" s="5" t="str">
        <f t="shared" si="13"/>
        <v>MES DEL PRIMER PAGO</v>
      </c>
      <c r="B29" s="256">
        <v>4</v>
      </c>
      <c r="C29" s="311"/>
      <c r="D29" s="249"/>
      <c r="E29" s="249"/>
      <c r="F29" s="249"/>
      <c r="G29" s="249"/>
      <c r="H29" s="249"/>
      <c r="I29" s="249"/>
      <c r="J29" s="249"/>
      <c r="K29" s="249"/>
      <c r="L29" s="249"/>
      <c r="M29" s="249"/>
      <c r="N29" s="250"/>
      <c r="O29" s="5"/>
    </row>
    <row r="30" spans="1:15">
      <c r="A30" s="5" t="str">
        <f t="shared" si="13"/>
        <v xml:space="preserve">PAGO </v>
      </c>
      <c r="B30" s="256" t="s">
        <v>306</v>
      </c>
      <c r="C30" s="311">
        <f t="shared" ref="C30:N30" si="15">IF(C25=1,1,0)+IF(C25=3,IF($B28=6,1,0))+IF(C25=4,IF($B28=4,1,0))+IF(C25=5,IF($B28=3,1,IF($B28=6,1)))+IF(C25=7,IF($B28=2,1,IF($B28=4,1,IF($B28=6,1,0))))+IF(C25=9,IF($B28=3,1,IF($B28=6,1)))+IF(C25=10,IF($B28=4,1,0))+IF(C25=11,IF($B28=6,1,0))+IF(C25="",0,IF($B28=12,IF(C25&gt;1,1,0),0))</f>
        <v>0</v>
      </c>
      <c r="D30" s="309">
        <f t="shared" si="15"/>
        <v>0</v>
      </c>
      <c r="E30" s="309">
        <f t="shared" si="15"/>
        <v>0</v>
      </c>
      <c r="F30" s="309">
        <f t="shared" si="15"/>
        <v>1</v>
      </c>
      <c r="G30" s="309">
        <f t="shared" si="15"/>
        <v>0</v>
      </c>
      <c r="H30" s="309">
        <f t="shared" si="15"/>
        <v>0</v>
      </c>
      <c r="I30" s="309">
        <f t="shared" si="15"/>
        <v>0</v>
      </c>
      <c r="J30" s="309">
        <f t="shared" si="15"/>
        <v>1</v>
      </c>
      <c r="K30" s="309">
        <f t="shared" si="15"/>
        <v>0</v>
      </c>
      <c r="L30" s="309">
        <f t="shared" si="15"/>
        <v>0</v>
      </c>
      <c r="M30" s="309">
        <f t="shared" si="15"/>
        <v>0</v>
      </c>
      <c r="N30" s="315">
        <f t="shared" si="15"/>
        <v>1</v>
      </c>
      <c r="O30" s="5"/>
    </row>
    <row r="31" spans="1:15">
      <c r="A31" s="5" t="str">
        <f t="shared" si="13"/>
        <v>TIPO DE INTERÉS ANUAL</v>
      </c>
      <c r="B31" s="316">
        <v>6.25E-2</v>
      </c>
      <c r="C31" s="311"/>
      <c r="D31" s="309"/>
      <c r="E31" s="309"/>
      <c r="F31" s="309"/>
      <c r="G31" s="309"/>
      <c r="H31" s="309"/>
      <c r="I31" s="309"/>
      <c r="J31" s="309"/>
      <c r="K31" s="309"/>
      <c r="L31" s="309"/>
      <c r="M31" s="309"/>
      <c r="N31" s="315"/>
      <c r="O31" s="5"/>
    </row>
    <row r="32" spans="1:15">
      <c r="A32" s="5" t="str">
        <f t="shared" si="13"/>
        <v>IMPORTE PAGADO</v>
      </c>
      <c r="B32" s="304">
        <f>SUM(C32:N32)</f>
        <v>0</v>
      </c>
      <c r="C32" s="248">
        <f t="shared" ref="C32:N32" si="16">IF(C30=1,IF($B30="lineal",C33+C34,ABS(PMT($B31/$B28,$B27*$B28,$B26))),0)</f>
        <v>0</v>
      </c>
      <c r="D32" s="249">
        <f t="shared" si="16"/>
        <v>0</v>
      </c>
      <c r="E32" s="249">
        <f t="shared" si="16"/>
        <v>0</v>
      </c>
      <c r="F32" s="249">
        <f t="shared" si="16"/>
        <v>0</v>
      </c>
      <c r="G32" s="249">
        <f t="shared" si="16"/>
        <v>0</v>
      </c>
      <c r="H32" s="249">
        <f t="shared" si="16"/>
        <v>0</v>
      </c>
      <c r="I32" s="249">
        <f t="shared" si="16"/>
        <v>0</v>
      </c>
      <c r="J32" s="249">
        <f t="shared" si="16"/>
        <v>0</v>
      </c>
      <c r="K32" s="249">
        <f t="shared" si="16"/>
        <v>0</v>
      </c>
      <c r="L32" s="249">
        <f t="shared" si="16"/>
        <v>0</v>
      </c>
      <c r="M32" s="249">
        <f t="shared" si="16"/>
        <v>0</v>
      </c>
      <c r="N32" s="250">
        <f t="shared" si="16"/>
        <v>0</v>
      </c>
      <c r="O32" s="5"/>
    </row>
    <row r="33" spans="1:14">
      <c r="A33" s="5" t="str">
        <f t="shared" si="13"/>
        <v xml:space="preserve">INTERESES </v>
      </c>
      <c r="B33" s="304">
        <f>SUM(C33:N33)</f>
        <v>0</v>
      </c>
      <c r="C33" s="248">
        <f t="shared" ref="C33:N33" si="17">IF(C30=1,+B26*$B31/$B28,0)</f>
        <v>0</v>
      </c>
      <c r="D33" s="249">
        <f t="shared" si="17"/>
        <v>0</v>
      </c>
      <c r="E33" s="249">
        <f t="shared" si="17"/>
        <v>0</v>
      </c>
      <c r="F33" s="249">
        <f t="shared" si="17"/>
        <v>0</v>
      </c>
      <c r="G33" s="249">
        <f t="shared" si="17"/>
        <v>0</v>
      </c>
      <c r="H33" s="249">
        <f t="shared" si="17"/>
        <v>0</v>
      </c>
      <c r="I33" s="249">
        <f t="shared" si="17"/>
        <v>0</v>
      </c>
      <c r="J33" s="249">
        <f t="shared" si="17"/>
        <v>0</v>
      </c>
      <c r="K33" s="249">
        <f t="shared" si="17"/>
        <v>0</v>
      </c>
      <c r="L33" s="249">
        <f t="shared" si="17"/>
        <v>0</v>
      </c>
      <c r="M33" s="249">
        <f t="shared" si="17"/>
        <v>0</v>
      </c>
      <c r="N33" s="250">
        <f t="shared" si="17"/>
        <v>0</v>
      </c>
    </row>
    <row r="34" spans="1:14">
      <c r="A34" s="322" t="str">
        <f t="shared" si="13"/>
        <v>CUOTA DE AMORTIZACIÓN</v>
      </c>
      <c r="B34" s="306">
        <f>SUM(C34:N34)</f>
        <v>0</v>
      </c>
      <c r="C34" s="317">
        <f t="shared" ref="C34:N34" si="18">IF(C30=1,IF($B30="lineal",+$B26/($B27*$B28),+C32-C33),0)</f>
        <v>0</v>
      </c>
      <c r="D34" s="318">
        <f t="shared" si="18"/>
        <v>0</v>
      </c>
      <c r="E34" s="318">
        <f t="shared" si="18"/>
        <v>0</v>
      </c>
      <c r="F34" s="318">
        <f t="shared" si="18"/>
        <v>0</v>
      </c>
      <c r="G34" s="318">
        <f t="shared" si="18"/>
        <v>0</v>
      </c>
      <c r="H34" s="318">
        <f t="shared" si="18"/>
        <v>0</v>
      </c>
      <c r="I34" s="318">
        <f t="shared" si="18"/>
        <v>0</v>
      </c>
      <c r="J34" s="318">
        <f t="shared" si="18"/>
        <v>0</v>
      </c>
      <c r="K34" s="318">
        <f t="shared" si="18"/>
        <v>0</v>
      </c>
      <c r="L34" s="318">
        <f t="shared" si="18"/>
        <v>0</v>
      </c>
      <c r="M34" s="318">
        <f t="shared" si="18"/>
        <v>0</v>
      </c>
      <c r="N34" s="319">
        <f t="shared" si="18"/>
        <v>0</v>
      </c>
    </row>
    <row r="35" spans="1:14">
      <c r="A35" s="5"/>
      <c r="B35" s="248"/>
      <c r="C35" s="311">
        <v>13</v>
      </c>
      <c r="D35" s="309">
        <v>14</v>
      </c>
      <c r="E35" s="309">
        <v>15</v>
      </c>
      <c r="F35" s="309">
        <v>16</v>
      </c>
      <c r="G35" s="309">
        <v>17</v>
      </c>
      <c r="H35" s="309">
        <v>18</v>
      </c>
      <c r="I35" s="309">
        <v>19</v>
      </c>
      <c r="J35" s="309">
        <v>20</v>
      </c>
      <c r="K35" s="309">
        <v>21</v>
      </c>
      <c r="L35" s="309">
        <v>22</v>
      </c>
      <c r="M35" s="309">
        <v>23</v>
      </c>
      <c r="N35" s="315">
        <v>24</v>
      </c>
    </row>
    <row r="36" spans="1:14">
      <c r="A36" s="5"/>
      <c r="B36" s="248"/>
      <c r="C36" s="311">
        <f>IF($B$10=C35,1,IF(N25="","",IF(N25=12,1,N25+1)))</f>
        <v>10</v>
      </c>
      <c r="D36" s="309">
        <f t="shared" ref="D36:N36" si="19">IF($B$10=D35,1,IF(C36="","",IF(C36=12,1,C36+1)))</f>
        <v>11</v>
      </c>
      <c r="E36" s="309">
        <f t="shared" si="19"/>
        <v>12</v>
      </c>
      <c r="F36" s="309">
        <f t="shared" si="19"/>
        <v>1</v>
      </c>
      <c r="G36" s="309">
        <f t="shared" si="19"/>
        <v>2</v>
      </c>
      <c r="H36" s="309">
        <f t="shared" si="19"/>
        <v>3</v>
      </c>
      <c r="I36" s="309">
        <f t="shared" si="19"/>
        <v>4</v>
      </c>
      <c r="J36" s="309">
        <f t="shared" si="19"/>
        <v>5</v>
      </c>
      <c r="K36" s="309">
        <f t="shared" si="19"/>
        <v>6</v>
      </c>
      <c r="L36" s="309">
        <f t="shared" si="19"/>
        <v>7</v>
      </c>
      <c r="M36" s="309">
        <f t="shared" si="19"/>
        <v>8</v>
      </c>
      <c r="N36" s="315">
        <f t="shared" si="19"/>
        <v>9</v>
      </c>
    </row>
    <row r="37" spans="1:14">
      <c r="A37" s="5"/>
      <c r="B37" s="248"/>
      <c r="C37" s="248"/>
      <c r="D37" s="249"/>
      <c r="E37" s="249"/>
      <c r="F37" s="249"/>
      <c r="G37" s="249"/>
      <c r="H37" s="249"/>
      <c r="I37" s="249"/>
      <c r="J37" s="249"/>
      <c r="K37" s="249"/>
      <c r="L37" s="249"/>
      <c r="M37" s="249"/>
      <c r="N37" s="250"/>
    </row>
    <row r="38" spans="1:14">
      <c r="A38" s="5" t="str">
        <f>+A18</f>
        <v>CAPITAL VIVO AÑO 2</v>
      </c>
      <c r="B38" s="304">
        <f>SUM(C38:N38)</f>
        <v>0</v>
      </c>
      <c r="C38" s="248">
        <f>+N26-C42</f>
        <v>0</v>
      </c>
      <c r="D38" s="249">
        <f t="shared" ref="D38:N38" si="20">+C38-D42</f>
        <v>0</v>
      </c>
      <c r="E38" s="249">
        <f t="shared" si="20"/>
        <v>0</v>
      </c>
      <c r="F38" s="249">
        <f t="shared" si="20"/>
        <v>0</v>
      </c>
      <c r="G38" s="249">
        <f t="shared" si="20"/>
        <v>0</v>
      </c>
      <c r="H38" s="249">
        <f t="shared" si="20"/>
        <v>0</v>
      </c>
      <c r="I38" s="249">
        <f t="shared" si="20"/>
        <v>0</v>
      </c>
      <c r="J38" s="249">
        <f t="shared" si="20"/>
        <v>0</v>
      </c>
      <c r="K38" s="249">
        <f t="shared" si="20"/>
        <v>0</v>
      </c>
      <c r="L38" s="249">
        <f t="shared" si="20"/>
        <v>0</v>
      </c>
      <c r="M38" s="249">
        <f t="shared" si="20"/>
        <v>0</v>
      </c>
      <c r="N38" s="250">
        <f t="shared" si="20"/>
        <v>0</v>
      </c>
    </row>
    <row r="39" spans="1:14">
      <c r="A39" s="5" t="str">
        <f>+A19</f>
        <v xml:space="preserve">PAGO </v>
      </c>
      <c r="B39" s="248"/>
      <c r="C39" s="311">
        <f t="shared" ref="C39:N39" si="21">IF(C36=1,1,0)+IF(C36=3,IF($B28=6,1,0))+IF(C36=4,IF($B28=4,1,0))+IF(C36=5,IF($B28=3,1,IF($B28=6,1)))+IF(C36=7,IF($B28=2,1,IF($B28=4,1,IF($B28=6,1,0))))+IF(C36=9,IF($B28=3,1,IF($B28=6,1)))+IF(C36=10,IF($B28=4,1,0))+IF(C36=11,IF($B28=6,1,0))+IF(C36="",0,IF($B28=12,IF(C36&gt;1,1,0),0))</f>
        <v>0</v>
      </c>
      <c r="D39" s="309">
        <f t="shared" si="21"/>
        <v>0</v>
      </c>
      <c r="E39" s="309">
        <f t="shared" si="21"/>
        <v>0</v>
      </c>
      <c r="F39" s="309">
        <f t="shared" si="21"/>
        <v>1</v>
      </c>
      <c r="G39" s="309">
        <f t="shared" si="21"/>
        <v>0</v>
      </c>
      <c r="H39" s="309">
        <f t="shared" si="21"/>
        <v>0</v>
      </c>
      <c r="I39" s="309">
        <f t="shared" si="21"/>
        <v>0</v>
      </c>
      <c r="J39" s="309">
        <f t="shared" si="21"/>
        <v>1</v>
      </c>
      <c r="K39" s="309">
        <f t="shared" si="21"/>
        <v>0</v>
      </c>
      <c r="L39" s="309">
        <f t="shared" si="21"/>
        <v>0</v>
      </c>
      <c r="M39" s="309">
        <f t="shared" si="21"/>
        <v>0</v>
      </c>
      <c r="N39" s="315">
        <f t="shared" si="21"/>
        <v>1</v>
      </c>
    </row>
    <row r="40" spans="1:14">
      <c r="A40" s="5" t="str">
        <f>+A20</f>
        <v>IMPORTE PAGADO</v>
      </c>
      <c r="B40" s="304">
        <f>SUM(C40:N40)</f>
        <v>0</v>
      </c>
      <c r="C40" s="248">
        <f t="shared" ref="C40:N40" si="22">IF(C39=1,IF($B30="lineal",C41+C42,ABS(PMT($B31/$B28,$B27*$B28,$B26))),0)</f>
        <v>0</v>
      </c>
      <c r="D40" s="249">
        <f t="shared" si="22"/>
        <v>0</v>
      </c>
      <c r="E40" s="249">
        <f t="shared" si="22"/>
        <v>0</v>
      </c>
      <c r="F40" s="249">
        <f t="shared" si="22"/>
        <v>0</v>
      </c>
      <c r="G40" s="249">
        <f t="shared" si="22"/>
        <v>0</v>
      </c>
      <c r="H40" s="249">
        <f t="shared" si="22"/>
        <v>0</v>
      </c>
      <c r="I40" s="249">
        <f t="shared" si="22"/>
        <v>0</v>
      </c>
      <c r="J40" s="249">
        <f t="shared" si="22"/>
        <v>0</v>
      </c>
      <c r="K40" s="249">
        <f t="shared" si="22"/>
        <v>0</v>
      </c>
      <c r="L40" s="249">
        <f t="shared" si="22"/>
        <v>0</v>
      </c>
      <c r="M40" s="249">
        <f t="shared" si="22"/>
        <v>0</v>
      </c>
      <c r="N40" s="250">
        <f t="shared" si="22"/>
        <v>0</v>
      </c>
    </row>
    <row r="41" spans="1:14">
      <c r="A41" s="5" t="str">
        <f>+A21</f>
        <v xml:space="preserve">INTERESES </v>
      </c>
      <c r="B41" s="304">
        <f>SUM(C41:N41)</f>
        <v>0</v>
      </c>
      <c r="C41" s="248">
        <f>IF(C39=1,+N26*$B31/$B28,0)</f>
        <v>0</v>
      </c>
      <c r="D41" s="249">
        <f t="shared" ref="D41:N41" si="23">IF(D39=1,+C38*$B31/$B28,0)</f>
        <v>0</v>
      </c>
      <c r="E41" s="249">
        <f t="shared" si="23"/>
        <v>0</v>
      </c>
      <c r="F41" s="249">
        <f t="shared" si="23"/>
        <v>0</v>
      </c>
      <c r="G41" s="249">
        <f t="shared" si="23"/>
        <v>0</v>
      </c>
      <c r="H41" s="249">
        <f t="shared" si="23"/>
        <v>0</v>
      </c>
      <c r="I41" s="249">
        <f t="shared" si="23"/>
        <v>0</v>
      </c>
      <c r="J41" s="249">
        <f t="shared" si="23"/>
        <v>0</v>
      </c>
      <c r="K41" s="249">
        <f t="shared" si="23"/>
        <v>0</v>
      </c>
      <c r="L41" s="249">
        <f t="shared" si="23"/>
        <v>0</v>
      </c>
      <c r="M41" s="249">
        <f t="shared" si="23"/>
        <v>0</v>
      </c>
      <c r="N41" s="250">
        <f t="shared" si="23"/>
        <v>0</v>
      </c>
    </row>
    <row r="42" spans="1:14" ht="13.5" thickBot="1">
      <c r="A42" s="5" t="str">
        <f>+A22</f>
        <v>CUOTA DE AMORTIZACIÓN</v>
      </c>
      <c r="B42" s="297">
        <f>SUM(C42:N42)</f>
        <v>0</v>
      </c>
      <c r="C42" s="308">
        <f t="shared" ref="C42:N42" si="24">IF(C39=1,IF($B30="lineal",+$B26/($B27*$B28),+C40-C41),0)</f>
        <v>0</v>
      </c>
      <c r="D42" s="320">
        <f t="shared" si="24"/>
        <v>0</v>
      </c>
      <c r="E42" s="320">
        <f t="shared" si="24"/>
        <v>0</v>
      </c>
      <c r="F42" s="320">
        <f t="shared" si="24"/>
        <v>0</v>
      </c>
      <c r="G42" s="320">
        <f t="shared" si="24"/>
        <v>0</v>
      </c>
      <c r="H42" s="320">
        <f t="shared" si="24"/>
        <v>0</v>
      </c>
      <c r="I42" s="320">
        <f t="shared" si="24"/>
        <v>0</v>
      </c>
      <c r="J42" s="320">
        <f t="shared" si="24"/>
        <v>0</v>
      </c>
      <c r="K42" s="320">
        <f t="shared" si="24"/>
        <v>0</v>
      </c>
      <c r="L42" s="320">
        <f t="shared" si="24"/>
        <v>0</v>
      </c>
      <c r="M42" s="320">
        <f t="shared" si="24"/>
        <v>0</v>
      </c>
      <c r="N42" s="321">
        <f t="shared" si="24"/>
        <v>0</v>
      </c>
    </row>
    <row r="43" spans="1:14" ht="13.5" thickBot="1">
      <c r="A43" s="5"/>
      <c r="B43" s="249"/>
      <c r="C43" s="249"/>
      <c r="D43" s="249"/>
      <c r="E43" s="249"/>
      <c r="F43" s="249"/>
      <c r="G43" s="249"/>
      <c r="H43" s="249"/>
      <c r="I43" s="249"/>
      <c r="J43" s="249"/>
      <c r="K43" s="249"/>
      <c r="L43" s="249"/>
      <c r="M43" s="249"/>
      <c r="N43" s="249"/>
    </row>
    <row r="44" spans="1:14">
      <c r="A44" s="312" t="s">
        <v>299</v>
      </c>
      <c r="B44" s="326"/>
      <c r="C44" s="310">
        <v>1</v>
      </c>
      <c r="D44" s="323">
        <v>2</v>
      </c>
      <c r="E44" s="323">
        <v>3</v>
      </c>
      <c r="F44" s="323">
        <v>4</v>
      </c>
      <c r="G44" s="323">
        <v>5</v>
      </c>
      <c r="H44" s="323">
        <v>6</v>
      </c>
      <c r="I44" s="323">
        <v>7</v>
      </c>
      <c r="J44" s="323">
        <v>8</v>
      </c>
      <c r="K44" s="323">
        <v>9</v>
      </c>
      <c r="L44" s="323">
        <v>10</v>
      </c>
      <c r="M44" s="323">
        <v>11</v>
      </c>
      <c r="N44" s="324">
        <v>12</v>
      </c>
    </row>
    <row r="45" spans="1:14">
      <c r="A45" s="313" t="s">
        <v>309</v>
      </c>
      <c r="B45" s="327" t="str">
        <f>IF(ABS(B47-SUM(C50:N50))&gt;0,"error","ok")</f>
        <v>ok</v>
      </c>
      <c r="C45" s="248">
        <f>IF($B$49=C44,1,"")</f>
        <v>1</v>
      </c>
      <c r="D45" s="249">
        <f t="shared" ref="D45:N45" si="25">IF($B$49=D44,1,IF(C45="","",C45+1))</f>
        <v>2</v>
      </c>
      <c r="E45" s="249">
        <f t="shared" si="25"/>
        <v>3</v>
      </c>
      <c r="F45" s="249">
        <f t="shared" si="25"/>
        <v>4</v>
      </c>
      <c r="G45" s="249">
        <f t="shared" si="25"/>
        <v>5</v>
      </c>
      <c r="H45" s="249">
        <f t="shared" si="25"/>
        <v>6</v>
      </c>
      <c r="I45" s="249">
        <f t="shared" si="25"/>
        <v>7</v>
      </c>
      <c r="J45" s="249">
        <f t="shared" si="25"/>
        <v>8</v>
      </c>
      <c r="K45" s="249">
        <f t="shared" si="25"/>
        <v>9</v>
      </c>
      <c r="L45" s="249">
        <f t="shared" si="25"/>
        <v>10</v>
      </c>
      <c r="M45" s="249">
        <f t="shared" si="25"/>
        <v>11</v>
      </c>
      <c r="N45" s="250">
        <f t="shared" si="25"/>
        <v>12</v>
      </c>
    </row>
    <row r="46" spans="1:14">
      <c r="A46" s="313" t="str">
        <f>+A26</f>
        <v xml:space="preserve">CAPITAL VIVO </v>
      </c>
      <c r="B46" s="327"/>
      <c r="C46" s="248">
        <f t="shared" ref="C46:N46" si="26">+B46-C54</f>
        <v>0</v>
      </c>
      <c r="D46" s="249">
        <f t="shared" si="26"/>
        <v>0</v>
      </c>
      <c r="E46" s="249">
        <f t="shared" si="26"/>
        <v>0</v>
      </c>
      <c r="F46" s="249">
        <f t="shared" si="26"/>
        <v>0</v>
      </c>
      <c r="G46" s="249">
        <f t="shared" si="26"/>
        <v>0</v>
      </c>
      <c r="H46" s="249">
        <f t="shared" si="26"/>
        <v>0</v>
      </c>
      <c r="I46" s="249">
        <f t="shared" si="26"/>
        <v>0</v>
      </c>
      <c r="J46" s="249">
        <f t="shared" si="26"/>
        <v>0</v>
      </c>
      <c r="K46" s="249">
        <f t="shared" si="26"/>
        <v>0</v>
      </c>
      <c r="L46" s="249">
        <f t="shared" si="26"/>
        <v>0</v>
      </c>
      <c r="M46" s="249">
        <f t="shared" si="26"/>
        <v>0</v>
      </c>
      <c r="N46" s="250">
        <f t="shared" si="26"/>
        <v>0</v>
      </c>
    </row>
    <row r="47" spans="1:14">
      <c r="A47" s="313" t="s">
        <v>310</v>
      </c>
      <c r="B47" s="328">
        <v>12</v>
      </c>
      <c r="C47" s="248"/>
      <c r="D47" s="249"/>
      <c r="E47" s="249"/>
      <c r="F47" s="249"/>
      <c r="G47" s="249"/>
      <c r="H47" s="249"/>
      <c r="I47" s="249"/>
      <c r="J47" s="249"/>
      <c r="K47" s="249"/>
      <c r="L47" s="249"/>
      <c r="M47" s="249"/>
      <c r="N47" s="250"/>
    </row>
    <row r="48" spans="1:14">
      <c r="A48" s="313" t="str">
        <f t="shared" ref="A48:A54" si="27">+A28</f>
        <v>PAGOS AL AÑO</v>
      </c>
      <c r="B48" s="328">
        <v>12</v>
      </c>
      <c r="C48" s="311"/>
      <c r="D48" s="249"/>
      <c r="E48" s="249"/>
      <c r="F48" s="249"/>
      <c r="G48" s="249"/>
      <c r="H48" s="249"/>
      <c r="I48" s="249"/>
      <c r="J48" s="249"/>
      <c r="K48" s="249"/>
      <c r="L48" s="249"/>
      <c r="M48" s="249"/>
      <c r="N48" s="250"/>
    </row>
    <row r="49" spans="1:14">
      <c r="A49" s="313" t="str">
        <f t="shared" si="27"/>
        <v>MES DEL PRIMER PAGO</v>
      </c>
      <c r="B49" s="328">
        <v>1</v>
      </c>
      <c r="C49" s="311"/>
      <c r="D49" s="249"/>
      <c r="E49" s="249"/>
      <c r="F49" s="249"/>
      <c r="G49" s="249"/>
      <c r="H49" s="249"/>
      <c r="I49" s="249"/>
      <c r="J49" s="249"/>
      <c r="K49" s="249"/>
      <c r="L49" s="249"/>
      <c r="M49" s="249"/>
      <c r="N49" s="250"/>
    </row>
    <row r="50" spans="1:14">
      <c r="A50" s="313" t="str">
        <f t="shared" si="27"/>
        <v xml:space="preserve">PAGO </v>
      </c>
      <c r="B50" s="328" t="s">
        <v>306</v>
      </c>
      <c r="C50" s="248">
        <f>IF($B47+1&gt;C45,IF(C45=1,1,0)+IF(C45=3,IF($B48=6,1,0))+IF(C45=4,IF($B48=4,1,0))+IF(C45=5,IF($B48=3,1,IF($B48=6,1)))+IF(C45=7,IF($B48=2,1,IF($B48=4,1,IF($B48=6,1,0))))+IF(C45=9,IF($B48=3,1,IF($B48=6,1)))+IF(C45=10,IF($B48=4,1,0))+IF(C45=11,IF($B48=6,1,0))+IF(C45="",0,IF($B48=12,IF(C45&gt;1,1,0),0)),0)</f>
        <v>1</v>
      </c>
      <c r="D50" s="249">
        <f>IF($B$47&gt;+C50,IF(D45=1,1,0)+IF(D45=3,IF($B$48=6,1,0))+IF(D45=4,IF($B$48=4,1,0))+IF(D45=5,IF($B$48=3,1,IF($B$48=6,1)))+IF(D45=7,IF($B$48=2,1,IF($B$48=4,1,IF($B$48=6,1,0))))+IF(D45=9,IF($B$48=3,1,IF($B$48=6,1)))+IF(D45=10,IF($B$48=4,1,0))+IF(D45=11,IF($B$48=6,1,0))+IF(D45="",0,IF($B$48=12,IF(D45&gt;1,1,0),0)),0)</f>
        <v>1</v>
      </c>
      <c r="E50" s="249">
        <f>IF($B$47&gt;+C50+D50,IF(E45=1,1,0)+IF(E45=3,IF($B$48=6,1,0))+IF(E45=4,IF($B$48=4,1,0))+IF(E45=5,IF($B$48=3,1,IF($B$48=6,1)))+IF(E45=7,IF($B$48=2,1,IF($B$48=4,1,IF($B$48=6,1,0))))+IF(E45=9,IF($B$48=3,1,IF($B$48=6,1)))+IF(E45=10,IF($B$48=4,1,0))+IF(E45=11,IF($B$48=6,1,0))+IF(E45="",0,IF($B$48=12,IF(E45&gt;1,1,0),0)),0)</f>
        <v>1</v>
      </c>
      <c r="F50" s="249">
        <f>IF($B$47&gt;+C50+D50+E50,IF(F45=1,1,0)+IF(F45=3,IF($B$48=6,1,0))+IF(F45=4,IF($B$48=4,1,0))+IF(F45=5,IF($B$48=3,1,IF($B$48=6,1)))+IF(F45=7,IF($B$48=2,1,IF($B$48=4,1,IF($B$48=6,1,0))))+IF(F45=9,IF($B$48=3,1,IF($B$48=6,1)))+IF(F45=10,IF($B$48=4,1,0))+IF(F45=11,IF($B$48=6,1,0))+IF(F45="",0,IF($B$48=12,IF(F45&gt;1,1,0),0)),0)</f>
        <v>1</v>
      </c>
      <c r="G50" s="249">
        <f>IF($B$47&gt;+C50+D50+E50+F50,IF(G45=1,1,0)+IF(G45=3,IF($B$48=6,1,0))+IF(G45=4,IF($B$48=4,1,0))+IF(G45=5,IF($B$48=3,1,IF($B$48=6,1)))+IF(G45=7,IF($B$48=2,1,IF($B$48=4,1,IF($B$48=6,1,0))))+IF(G45=9,IF($B$48=3,1,IF($B$48=6,1)))+IF(G45=10,IF($B$48=4,1,0))+IF(G45=11,IF($B$48=6,1,0))+IF(G45="",0,IF($B$48=12,IF(G45&gt;1,1,0),0)),0)</f>
        <v>1</v>
      </c>
      <c r="H50" s="249">
        <f>IF($B$47&gt;+C50+D50+E50+F50+G50,IF(H45=1,1,0)+IF(H45=3,IF($B$48=6,1,0))+IF(H45=4,IF($B$48=4,1,0))+IF(H45=5,IF($B$48=3,1,IF($B$48=6,1)))+IF(H45=7,IF($B$48=2,1,IF($B$48=4,1,IF($B$48=6,1,0))))+IF(H45=9,IF($B$48=3,1,IF($B$48=6,1)))+IF(H45=10,IF($B$48=4,1,0))+IF(H45=11,IF($B$48=6,1,0))+IF(H45="",0,IF($B$48=12,IF(H45&gt;1,1,0),0)),0)</f>
        <v>1</v>
      </c>
      <c r="I50" s="249">
        <f>IF($B$47&gt;+C50+D50+E50+F50+G50+H50,IF(I45=1,1,0)+IF(I45=3,IF($B$48=6,1,0))+IF(I45=4,IF($B$48=4,1,0))+IF(I45=5,IF($B$48=3,1,IF($B$48=6,1)))+IF(I45=7,IF($B$48=2,1,IF($B$48=4,1,IF($B$48=6,1,0))))+IF(I45=9,IF($B$48=3,1,IF($B$48=6,1)))+IF(I45=10,IF($B$48=4,1,0))+IF(I45=11,IF($B$48=6,1,0))+IF(I45="",0,IF($B$48=12,IF(I45&gt;1,1,0),0)),0)</f>
        <v>1</v>
      </c>
      <c r="J50" s="249">
        <f>IF($B$47&gt;+C50+D50+E50+F50+G50+H50+I50,IF(J45=1,1,0)+IF(J45=3,IF($B$48=6,1,0))+IF(J45=4,IF($B$48=4,1,0))+IF(J45=5,IF($B$48=3,1,IF($B$48=6,1)))+IF(J45=7,IF($B$48=2,1,IF($B$48=4,1,IF($B$48=6,1,0))))+IF(J45=9,IF($B$48=3,1,IF($B$48=6,1)))+IF(J45=10,IF($B$48=4,1,0))+IF(J45=11,IF($B$48=6,1,0))+IF(J45="",0,IF($B$48=12,IF(J45&gt;1,1,0),0)),0)</f>
        <v>1</v>
      </c>
      <c r="K50" s="249">
        <f>IF($B$47&gt;+C50+D50+E50+F50+G50+H50+I50+J50,IF(K45=1,1,0)+IF(K45=3,IF($B$48=6,1,0))+IF(K45=4,IF($B$48=4,1,0))+IF(K45=5,IF($B$48=3,1,IF($B$48=6,1)))+IF(K45=7,IF($B$48=2,1,IF($B$48=4,1,IF($B$48=6,1,0))))+IF(K45=9,IF($B$48=3,1,IF($B$48=6,1)))+IF(K45=10,IF($B$48=4,1,0))+IF(K45=11,IF($B$48=6,1,0))+IF(K45="",0,IF($B$48=12,IF(K45&gt;1,1,0),0)),0)</f>
        <v>1</v>
      </c>
      <c r="L50" s="249">
        <f>IF($B$47&gt;+C50+D50+E50+F50+G50+H50+I50+J50+K50,IF(L45=1,1,0)+IF(L45=3,IF($B$48=6,1,0))+IF(L45=4,IF($B$48=4,1,0))+IF(L45=5,IF($B$48=3,1,IF($B$48=6,1)))+IF(L45=7,IF($B$48=2,1,IF($B$48=4,1,IF($B$48=6,1,0))))+IF(L45=9,IF($B$48=3,1,IF($B$48=6,1)))+IF(L45=10,IF($B$48=4,1,0))+IF(L45=11,IF($B$48=6,1,0))+IF(L45="",0,IF($B$48=12,IF(L45&gt;1,1,0),0)),0)</f>
        <v>1</v>
      </c>
      <c r="M50" s="249">
        <f>IF($B$47&gt;+C50+D50+E50+F50+G50+H50+I50+J50+K50+L50,IF(M45=1,1,0)+IF(M45=3,IF($B$48=6,1,0))+IF(M45=4,IF($B$48=4,1,0))+IF(M45=5,IF($B$48=3,1,IF($B$48=6,1)))+IF(M45=7,IF($B$48=2,1,IF($B$48=4,1,IF($B$48=6,1,0))))+IF(M45=9,IF($B$48=3,1,IF($B$48=6,1)))+IF(M45=10,IF($B$48=4,1,0))+IF(M45=11,IF($B$48=6,1,0))+IF(M45="",0,IF($B$48=12,IF(M45&gt;1,1,0),0)),0)</f>
        <v>1</v>
      </c>
      <c r="N50" s="250">
        <f>IF($B$47&gt;+C50+D50+E50+F50+G50+H50+I50+J50+K50+L50+M50,IF(N45=1,1,0)+IF(N45=3,IF($B$48=6,1,0))+IF(N45=4,IF($B$48=4,1,0))+IF(N45=5,IF($B$48=3,1,IF($B$48=6,1)))+IF(N45=7,IF($B$48=2,1,IF($B$48=4,1,IF($B$48=6,1,0))))+IF(N45=9,IF($B$48=3,1,IF($B$48=6,1)))+IF(N45=10,IF($B$48=4,1,0))+IF(N45=11,IF($B$48=6,1,0))+IF(N45="",0,IF($B$48=12,IF(N45&gt;1,1,0),0)),0)</f>
        <v>1</v>
      </c>
    </row>
    <row r="51" spans="1:14">
      <c r="A51" s="313" t="str">
        <f t="shared" si="27"/>
        <v>TIPO DE INTERÉS ANUAL</v>
      </c>
      <c r="B51" s="329">
        <v>0.06</v>
      </c>
      <c r="C51" s="248"/>
      <c r="D51" s="249"/>
      <c r="E51" s="249"/>
      <c r="F51" s="249"/>
      <c r="G51" s="249"/>
      <c r="H51" s="249"/>
      <c r="I51" s="249"/>
      <c r="J51" s="249"/>
      <c r="K51" s="249"/>
      <c r="L51" s="249"/>
      <c r="M51" s="249"/>
      <c r="N51" s="250"/>
    </row>
    <row r="52" spans="1:14">
      <c r="A52" s="313" t="str">
        <f t="shared" si="27"/>
        <v>IMPORTE PAGADO</v>
      </c>
      <c r="B52" s="327">
        <f>SUM(C52:N52)</f>
        <v>0</v>
      </c>
      <c r="C52" s="248">
        <f t="shared" ref="C52:N52" si="28">IF(C50=1,IF($B50="lineal",C53+C54,ABS(PMT($B51/$B48,$B47,$B46))),0)</f>
        <v>0</v>
      </c>
      <c r="D52" s="249">
        <f t="shared" si="28"/>
        <v>0</v>
      </c>
      <c r="E52" s="249">
        <f t="shared" si="28"/>
        <v>0</v>
      </c>
      <c r="F52" s="249">
        <f t="shared" si="28"/>
        <v>0</v>
      </c>
      <c r="G52" s="249">
        <f t="shared" si="28"/>
        <v>0</v>
      </c>
      <c r="H52" s="249">
        <f t="shared" si="28"/>
        <v>0</v>
      </c>
      <c r="I52" s="249">
        <f t="shared" si="28"/>
        <v>0</v>
      </c>
      <c r="J52" s="249">
        <f t="shared" si="28"/>
        <v>0</v>
      </c>
      <c r="K52" s="249">
        <f t="shared" si="28"/>
        <v>0</v>
      </c>
      <c r="L52" s="249">
        <f t="shared" si="28"/>
        <v>0</v>
      </c>
      <c r="M52" s="249">
        <f t="shared" si="28"/>
        <v>0</v>
      </c>
      <c r="N52" s="250">
        <f t="shared" si="28"/>
        <v>0</v>
      </c>
    </row>
    <row r="53" spans="1:14">
      <c r="A53" s="313" t="str">
        <f t="shared" si="27"/>
        <v xml:space="preserve">INTERESES </v>
      </c>
      <c r="B53" s="327">
        <f>SUM(C53:N53)</f>
        <v>0</v>
      </c>
      <c r="C53" s="248">
        <f t="shared" ref="C53:N53" si="29">IF(C52=0,0,+B46*$B51/$B48)</f>
        <v>0</v>
      </c>
      <c r="D53" s="249">
        <f t="shared" si="29"/>
        <v>0</v>
      </c>
      <c r="E53" s="249">
        <f t="shared" si="29"/>
        <v>0</v>
      </c>
      <c r="F53" s="249">
        <f t="shared" si="29"/>
        <v>0</v>
      </c>
      <c r="G53" s="249">
        <f t="shared" si="29"/>
        <v>0</v>
      </c>
      <c r="H53" s="249">
        <f t="shared" si="29"/>
        <v>0</v>
      </c>
      <c r="I53" s="249">
        <f t="shared" si="29"/>
        <v>0</v>
      </c>
      <c r="J53" s="249">
        <f t="shared" si="29"/>
        <v>0</v>
      </c>
      <c r="K53" s="249">
        <f t="shared" si="29"/>
        <v>0</v>
      </c>
      <c r="L53" s="249">
        <f t="shared" si="29"/>
        <v>0</v>
      </c>
      <c r="M53" s="249">
        <f t="shared" si="29"/>
        <v>0</v>
      </c>
      <c r="N53" s="250">
        <f t="shared" si="29"/>
        <v>0</v>
      </c>
    </row>
    <row r="54" spans="1:14" ht="13.5" thickBot="1">
      <c r="A54" s="83" t="str">
        <f t="shared" si="27"/>
        <v>CUOTA DE AMORTIZACIÓN</v>
      </c>
      <c r="B54" s="330">
        <f>SUM(C54:N54)</f>
        <v>0</v>
      </c>
      <c r="C54" s="308">
        <f t="shared" ref="C54:N54" si="30">IF(C50=1,IF($B50="lineal",+$B46/($B47),+C52-C53),0)</f>
        <v>0</v>
      </c>
      <c r="D54" s="320">
        <f t="shared" si="30"/>
        <v>0</v>
      </c>
      <c r="E54" s="320">
        <f t="shared" si="30"/>
        <v>0</v>
      </c>
      <c r="F54" s="320">
        <f t="shared" si="30"/>
        <v>0</v>
      </c>
      <c r="G54" s="320">
        <f t="shared" si="30"/>
        <v>0</v>
      </c>
      <c r="H54" s="320">
        <f t="shared" si="30"/>
        <v>0</v>
      </c>
      <c r="I54" s="320">
        <f t="shared" si="30"/>
        <v>0</v>
      </c>
      <c r="J54" s="320">
        <f t="shared" si="30"/>
        <v>0</v>
      </c>
      <c r="K54" s="320">
        <f t="shared" si="30"/>
        <v>0</v>
      </c>
      <c r="L54" s="320">
        <f t="shared" si="30"/>
        <v>0</v>
      </c>
      <c r="M54" s="320">
        <f t="shared" si="30"/>
        <v>0</v>
      </c>
      <c r="N54" s="321">
        <f t="shared" si="30"/>
        <v>0</v>
      </c>
    </row>
  </sheetData>
  <dataValidations count="6">
    <dataValidation type="list" allowBlank="1" showInputMessage="1" showErrorMessage="1" sqref="B28 B47:B48 B9">
      <formula1>"1,2,3,4,6,12"</formula1>
    </dataValidation>
    <dataValidation type="list" allowBlank="1" showInputMessage="1" showErrorMessage="1" sqref="B30 B50 B11">
      <formula1>"lineal, const"</formula1>
    </dataValidation>
    <dataValidation type="list" allowBlank="1" showInputMessage="1" showErrorMessage="1" sqref="B29 B49 B10">
      <formula1>"1,2,3,4,5,6,7,8,9,10,11,12"</formula1>
    </dataValidation>
    <dataValidation allowBlank="1" showInputMessage="1" showErrorMessage="1" prompt="celdas operativas" sqref="C30:N30 C11:N11"/>
    <dataValidation allowBlank="1" showInputMessage="1" showErrorMessage="1" prompt="Comprobación del número de pagos" sqref="B45"/>
    <dataValidation allowBlank="1" showInputMessage="1" showErrorMessage="1" prompt="Elegir entre lineal y constante. Cons_x000a_tante significa que se paga al banco siempre lo mismo. Por el contrario, lineal significa que la amortización del principal es lineal." sqref="A1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Datos Historicos</vt:lpstr>
      <vt:lpstr>Datos Previsiones</vt:lpstr>
      <vt:lpstr>P y G</vt:lpstr>
      <vt:lpstr>Tesorería</vt:lpstr>
      <vt:lpstr>Balance</vt:lpstr>
      <vt:lpstr>Financiación corto</vt:lpstr>
      <vt:lpstr>Pago compras</vt:lpstr>
      <vt:lpstr>Gtos de personal</vt:lpstr>
      <vt:lpstr>Prestamos</vt:lpstr>
      <vt:lpstr>FMO</vt:lpstr>
      <vt:lpstr>IVA</vt:lpstr>
    </vt:vector>
  </TitlesOfParts>
  <Company>EHU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Txomin Iturralde</dc:creator>
  <cp:lastModifiedBy>Instalaciones</cp:lastModifiedBy>
  <dcterms:created xsi:type="dcterms:W3CDTF">2007-11-15T16:46:31Z</dcterms:created>
  <dcterms:modified xsi:type="dcterms:W3CDTF">2017-11-06T18:43:28Z</dcterms:modified>
</cp:coreProperties>
</file>